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130"/>
  <workbookPr/>
  <mc:AlternateContent xmlns:mc="http://schemas.openxmlformats.org/markup-compatibility/2006">
    <mc:Choice Requires="x15">
      <x15ac:absPath xmlns:x15ac="http://schemas.microsoft.com/office/spreadsheetml/2010/11/ac" url="C:\Users\hahnme_a\Desktop\PRISMA\Workspace\1. Material intensities\"/>
    </mc:Choice>
  </mc:AlternateContent>
  <xr:revisionPtr revIDLastSave="0" documentId="13_ncr:1_{8E5F2282-10D3-4937-8166-7276F97261C5}" xr6:coauthVersionLast="47" xr6:coauthVersionMax="47" xr10:uidLastSave="{00000000-0000-0000-0000-000000000000}"/>
  <bookViews>
    <workbookView xWindow="-120" yWindow="-120" windowWidth="29040" windowHeight="15840" activeTab="5" xr2:uid="{00000000-000D-0000-FFFF-FFFF00000000}"/>
  </bookViews>
  <sheets>
    <sheet name="Transport" sheetId="1" r:id="rId1"/>
    <sheet name="Wind" sheetId="2" r:id="rId2"/>
    <sheet name="PV" sheetId="7" r:id="rId3"/>
    <sheet name="CSP" sheetId="8" r:id="rId4"/>
    <sheet name="Nuclear" sheetId="9" r:id="rId5"/>
    <sheet name="Batteries" sheetId="6" r:id="rId6"/>
    <sheet name="Fuel cells" sheetId="10" r:id="rId7"/>
    <sheet name="Electrolysers" sheetId="11" r:id="rId8"/>
    <sheet name="Heat pumps" sheetId="12"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840" i="6" l="1"/>
  <c r="D839" i="6"/>
  <c r="C837" i="6"/>
  <c r="C836" i="6"/>
  <c r="E834" i="6"/>
  <c r="E823" i="6" l="1"/>
  <c r="E820" i="6"/>
  <c r="E817" i="6"/>
  <c r="H819" i="6"/>
  <c r="H822" i="6" s="1"/>
  <c r="H816" i="6"/>
  <c r="A823" i="6"/>
  <c r="A820" i="6"/>
  <c r="A817" i="6"/>
  <c r="C789" i="6" l="1"/>
  <c r="C781" i="6"/>
  <c r="C278" i="11" l="1"/>
  <c r="B278" i="11"/>
  <c r="B282" i="11"/>
  <c r="D258" i="11"/>
  <c r="C329" i="10"/>
  <c r="C330" i="10"/>
  <c r="H15" i="12" l="1"/>
  <c r="H16" i="12"/>
  <c r="I16" i="12"/>
  <c r="J16" i="12"/>
  <c r="H17" i="12"/>
  <c r="I17" i="12"/>
  <c r="J17" i="12"/>
  <c r="H18" i="12"/>
  <c r="I18" i="12"/>
  <c r="J18" i="12"/>
  <c r="H19" i="12"/>
  <c r="I19" i="12"/>
  <c r="J19" i="12"/>
  <c r="H20" i="12"/>
  <c r="I20" i="12"/>
  <c r="J20" i="12"/>
  <c r="H21" i="12"/>
  <c r="I21" i="12"/>
  <c r="J21" i="12"/>
  <c r="H22" i="12"/>
  <c r="I22" i="12"/>
  <c r="J22" i="12"/>
  <c r="H23" i="12"/>
  <c r="I23" i="12"/>
  <c r="J23" i="12"/>
  <c r="H24" i="12"/>
  <c r="H25" i="12"/>
  <c r="I25" i="12"/>
  <c r="J25" i="12"/>
  <c r="H26" i="12"/>
  <c r="I26" i="12"/>
  <c r="J26" i="12"/>
  <c r="H27" i="12"/>
  <c r="I27" i="12"/>
  <c r="J27" i="12"/>
  <c r="H28" i="12"/>
  <c r="H29" i="12"/>
  <c r="H30" i="12"/>
  <c r="I30" i="12"/>
  <c r="J30" i="12"/>
  <c r="H31" i="12"/>
  <c r="I31" i="12"/>
  <c r="J31" i="12"/>
  <c r="H32" i="12"/>
  <c r="I32" i="12"/>
  <c r="J32" i="12"/>
  <c r="I14" i="12"/>
  <c r="J14" i="12"/>
  <c r="H14" i="12"/>
  <c r="D32" i="12"/>
  <c r="D24" i="12"/>
  <c r="J24" i="12" s="1"/>
  <c r="C24" i="12"/>
  <c r="I24" i="12" s="1"/>
  <c r="D15" i="12"/>
  <c r="J15" i="12" s="1"/>
  <c r="D29" i="12"/>
  <c r="J29" i="12" s="1"/>
  <c r="D28" i="12"/>
  <c r="J28" i="12" s="1"/>
  <c r="C15" i="12"/>
  <c r="I15" i="12" s="1"/>
  <c r="C29" i="12"/>
  <c r="I29" i="12" s="1"/>
  <c r="C28" i="12"/>
  <c r="I28" i="12" s="1"/>
  <c r="C431" i="11" l="1"/>
  <c r="D431" i="11" s="1"/>
  <c r="F431" i="11" s="1"/>
  <c r="B441" i="11" s="1"/>
  <c r="C432" i="11"/>
  <c r="D432" i="11" s="1"/>
  <c r="F432" i="11" s="1"/>
  <c r="B442" i="11" s="1"/>
  <c r="C433" i="11"/>
  <c r="D433" i="11" s="1"/>
  <c r="F433" i="11" s="1"/>
  <c r="C434" i="11"/>
  <c r="D434" i="11" s="1"/>
  <c r="F434" i="11" s="1"/>
  <c r="C435" i="11"/>
  <c r="D435" i="11" s="1"/>
  <c r="F435" i="11" s="1"/>
  <c r="B445" i="11" s="1"/>
  <c r="C436" i="11"/>
  <c r="D436" i="11" s="1"/>
  <c r="F436" i="11" s="1"/>
  <c r="C437" i="11"/>
  <c r="D437" i="11" s="1"/>
  <c r="F437" i="11" s="1"/>
  <c r="C430" i="11"/>
  <c r="D430" i="11" s="1"/>
  <c r="F430" i="11" s="1"/>
  <c r="B440" i="11" s="1"/>
  <c r="C391" i="11"/>
  <c r="C394" i="11"/>
  <c r="C392" i="11"/>
  <c r="C393" i="11"/>
  <c r="B396" i="11"/>
  <c r="C396" i="11" s="1"/>
  <c r="B395" i="11"/>
  <c r="C395" i="11" s="1"/>
  <c r="D395" i="11" s="1"/>
  <c r="C365" i="11"/>
  <c r="B365" i="11"/>
  <c r="C363" i="11"/>
  <c r="C381" i="11"/>
  <c r="B380" i="11"/>
  <c r="C380" i="11" s="1"/>
  <c r="B379" i="11"/>
  <c r="C379" i="11" s="1"/>
  <c r="B378" i="11"/>
  <c r="C378" i="11" s="1"/>
  <c r="F308" i="11"/>
  <c r="C311" i="11" s="1"/>
  <c r="B318" i="11"/>
  <c r="B317" i="11"/>
  <c r="B254" i="11"/>
  <c r="D254" i="11" s="1"/>
  <c r="C257" i="11"/>
  <c r="D257" i="11" s="1"/>
  <c r="C256" i="11"/>
  <c r="D256" i="11" s="1"/>
  <c r="B255" i="11"/>
  <c r="D255" i="11" s="1"/>
  <c r="B253" i="11"/>
  <c r="D253" i="11" s="1"/>
  <c r="B252" i="11"/>
  <c r="D252" i="11" s="1"/>
  <c r="B223" i="11"/>
  <c r="B203" i="11"/>
  <c r="B202" i="11"/>
  <c r="B174" i="11"/>
  <c r="B173" i="11"/>
  <c r="D148" i="11"/>
  <c r="D147" i="11"/>
  <c r="D145" i="11"/>
  <c r="C145" i="11"/>
  <c r="C152" i="11"/>
  <c r="C151" i="11"/>
  <c r="C148" i="11"/>
  <c r="B152" i="11"/>
  <c r="B151" i="11"/>
  <c r="B145" i="11"/>
  <c r="F145" i="11" s="1"/>
  <c r="C141" i="11"/>
  <c r="C140" i="11"/>
  <c r="D150" i="11" s="1"/>
  <c r="C139" i="11"/>
  <c r="D153" i="11" s="1"/>
  <c r="C138" i="11"/>
  <c r="D149" i="11" s="1"/>
  <c r="C130" i="11"/>
  <c r="D151" i="11" s="1"/>
  <c r="C129" i="11"/>
  <c r="D152" i="11" s="1"/>
  <c r="C131" i="11"/>
  <c r="D157" i="11" s="1"/>
  <c r="C128" i="11"/>
  <c r="C157" i="11" s="1"/>
  <c r="C127" i="11"/>
  <c r="C147" i="11" s="1"/>
  <c r="C126" i="11"/>
  <c r="C125" i="11"/>
  <c r="C149" i="11" s="1"/>
  <c r="C124" i="11"/>
  <c r="B157" i="11" s="1"/>
  <c r="C123" i="11"/>
  <c r="B148" i="11" s="1"/>
  <c r="F148" i="11" s="1"/>
  <c r="C122" i="11"/>
  <c r="B147" i="11" s="1"/>
  <c r="F147" i="11" s="1"/>
  <c r="C121" i="11"/>
  <c r="C120" i="11"/>
  <c r="N132" i="11"/>
  <c r="N127" i="11"/>
  <c r="N133" i="11"/>
  <c r="C135" i="11" s="1"/>
  <c r="B320" i="11" s="1"/>
  <c r="C320" i="11" s="1"/>
  <c r="M132" i="11"/>
  <c r="M127" i="11"/>
  <c r="M120" i="11"/>
  <c r="B95" i="11"/>
  <c r="B94" i="11"/>
  <c r="B74" i="11"/>
  <c r="B73" i="11"/>
  <c r="J35" i="11"/>
  <c r="B44" i="11" s="1"/>
  <c r="D35" i="11"/>
  <c r="B45" i="11" s="1"/>
  <c r="C15" i="11"/>
  <c r="C14" i="11"/>
  <c r="F151" i="11" l="1"/>
  <c r="B153" i="11"/>
  <c r="F152" i="11"/>
  <c r="B444" i="11"/>
  <c r="C317" i="11"/>
  <c r="C134" i="11"/>
  <c r="C137" i="11"/>
  <c r="E135" i="11" s="1"/>
  <c r="C153" i="11"/>
  <c r="C318" i="11"/>
  <c r="C136" i="11"/>
  <c r="B319" i="11" s="1"/>
  <c r="C319" i="11" s="1"/>
  <c r="B149" i="11"/>
  <c r="F149" i="11" s="1"/>
  <c r="B443" i="11"/>
  <c r="C133" i="11"/>
  <c r="D154" i="11" s="1"/>
  <c r="B322" i="11"/>
  <c r="C322" i="11" s="1"/>
  <c r="B323" i="11"/>
  <c r="C323" i="11" s="1"/>
  <c r="C310" i="11"/>
  <c r="C313" i="11"/>
  <c r="C312" i="11"/>
  <c r="C132" i="11"/>
  <c r="D146" i="11" s="1"/>
  <c r="B321" i="11"/>
  <c r="C321" i="11" s="1"/>
  <c r="C155" i="11"/>
  <c r="D155" i="11"/>
  <c r="B155" i="11"/>
  <c r="B150" i="11"/>
  <c r="F150" i="11" s="1"/>
  <c r="C150" i="11"/>
  <c r="E120" i="11"/>
  <c r="E138" i="11"/>
  <c r="E129" i="11"/>
  <c r="E125" i="11"/>
  <c r="F155" i="11" l="1"/>
  <c r="F153" i="11"/>
  <c r="D159" i="11"/>
  <c r="C154" i="11"/>
  <c r="B154" i="11"/>
  <c r="F154" i="11" s="1"/>
  <c r="C146" i="11"/>
  <c r="C159" i="11" s="1"/>
  <c r="E132" i="11"/>
  <c r="B146" i="11"/>
  <c r="F146" i="11" s="1"/>
  <c r="B159" i="11"/>
  <c r="C161" i="11" l="1"/>
  <c r="B161" i="11"/>
  <c r="D161" i="11"/>
  <c r="B482" i="10"/>
  <c r="B424" i="10"/>
  <c r="D369" i="10"/>
  <c r="E349" i="10"/>
  <c r="C349" i="10" s="1"/>
  <c r="C331" i="10"/>
  <c r="C333" i="10"/>
  <c r="C328" i="10"/>
  <c r="B332" i="10"/>
  <c r="C332" i="10" s="1"/>
  <c r="C283" i="10"/>
  <c r="B284" i="10"/>
  <c r="E240" i="10"/>
  <c r="B242" i="10" s="1"/>
  <c r="C175" i="10"/>
  <c r="B133" i="10"/>
  <c r="F104" i="10"/>
  <c r="F105" i="10"/>
  <c r="F108" i="10"/>
  <c r="G110" i="10"/>
  <c r="G111" i="10"/>
  <c r="F112" i="10"/>
  <c r="G112" i="10"/>
  <c r="G113" i="10"/>
  <c r="F114" i="10"/>
  <c r="G114" i="10"/>
  <c r="F115" i="10"/>
  <c r="G115" i="10"/>
  <c r="F116" i="10"/>
  <c r="G117" i="10"/>
  <c r="G118" i="10"/>
  <c r="G119" i="10"/>
  <c r="C116" i="10"/>
  <c r="G116" i="10" s="1"/>
  <c r="B113" i="10"/>
  <c r="F113" i="10" s="1"/>
  <c r="C109" i="10"/>
  <c r="G109" i="10" s="1"/>
  <c r="C108" i="10"/>
  <c r="G108" i="10" s="1"/>
  <c r="C107" i="10"/>
  <c r="G107" i="10" s="1"/>
  <c r="C106" i="10"/>
  <c r="G106" i="10" s="1"/>
  <c r="C105" i="10"/>
  <c r="G105" i="10" s="1"/>
  <c r="C104" i="10"/>
  <c r="G104" i="10" s="1"/>
  <c r="C103" i="10"/>
  <c r="G103" i="10" s="1"/>
  <c r="B119" i="10"/>
  <c r="F119" i="10" s="1"/>
  <c r="B118" i="10"/>
  <c r="F118" i="10" s="1"/>
  <c r="B117" i="10"/>
  <c r="F117" i="10" s="1"/>
  <c r="B111" i="10"/>
  <c r="F111" i="10" s="1"/>
  <c r="B110" i="10"/>
  <c r="F110" i="10" s="1"/>
  <c r="B109" i="10"/>
  <c r="F109" i="10" s="1"/>
  <c r="B107" i="10"/>
  <c r="F107" i="10" s="1"/>
  <c r="B106" i="10"/>
  <c r="F106" i="10" s="1"/>
  <c r="B103" i="10"/>
  <c r="F103" i="10" s="1"/>
  <c r="C134" i="9"/>
  <c r="C135" i="9"/>
  <c r="C136" i="9"/>
  <c r="C141" i="9"/>
  <c r="C143" i="9"/>
  <c r="B153" i="9"/>
  <c r="C153" i="9" s="1"/>
  <c r="B152" i="9"/>
  <c r="C152" i="9" s="1"/>
  <c r="B151" i="9"/>
  <c r="C151" i="9" s="1"/>
  <c r="B150" i="9"/>
  <c r="C150" i="9" s="1"/>
  <c r="B149" i="9"/>
  <c r="C149" i="9" s="1"/>
  <c r="B148" i="9"/>
  <c r="C148" i="9" s="1"/>
  <c r="B147" i="9"/>
  <c r="C147" i="9" s="1"/>
  <c r="B146" i="9"/>
  <c r="C146" i="9" s="1"/>
  <c r="B145" i="9"/>
  <c r="C145" i="9" s="1"/>
  <c r="B144" i="9"/>
  <c r="C144" i="9" s="1"/>
  <c r="B142" i="9"/>
  <c r="C142" i="9" s="1"/>
  <c r="B140" i="9"/>
  <c r="C140" i="9" s="1"/>
  <c r="B139" i="9"/>
  <c r="C139" i="9" s="1"/>
  <c r="B138" i="9"/>
  <c r="C138" i="9" s="1"/>
  <c r="B137" i="9"/>
  <c r="C137" i="9" s="1"/>
  <c r="B133" i="9"/>
  <c r="C133" i="9" s="1"/>
  <c r="B87" i="10"/>
  <c r="B59" i="10"/>
  <c r="D718" i="6" l="1"/>
  <c r="D719" i="6"/>
  <c r="D720" i="6"/>
  <c r="D721" i="6"/>
  <c r="D722" i="6"/>
  <c r="D723" i="6"/>
  <c r="D724" i="6"/>
  <c r="D725" i="6"/>
  <c r="D726" i="6"/>
  <c r="D727" i="6"/>
  <c r="D728" i="6"/>
  <c r="D729" i="6"/>
  <c r="D730" i="6"/>
  <c r="D731" i="6"/>
  <c r="D732" i="6"/>
  <c r="D733" i="6"/>
  <c r="D734" i="6"/>
  <c r="D735" i="6"/>
  <c r="D736" i="6"/>
  <c r="D737" i="6"/>
  <c r="D738" i="6"/>
  <c r="D739" i="6"/>
  <c r="D740" i="6"/>
  <c r="D741" i="6"/>
  <c r="D742" i="6"/>
  <c r="D743" i="6"/>
  <c r="D744" i="6"/>
  <c r="D745" i="6"/>
  <c r="D746" i="6"/>
  <c r="D747" i="6"/>
  <c r="D748" i="6"/>
  <c r="D749" i="6"/>
  <c r="D750" i="6"/>
  <c r="D751" i="6"/>
  <c r="D752" i="6"/>
  <c r="D753" i="6"/>
  <c r="D754" i="6"/>
  <c r="D755" i="6"/>
  <c r="D756" i="6"/>
  <c r="D757" i="6"/>
  <c r="D758" i="6"/>
  <c r="D759" i="6"/>
  <c r="D760" i="6"/>
  <c r="D761" i="6"/>
  <c r="D762" i="6"/>
  <c r="D763" i="6"/>
  <c r="D764" i="6"/>
  <c r="D765" i="6"/>
  <c r="D766" i="6"/>
  <c r="D767" i="6"/>
  <c r="D768" i="6"/>
  <c r="D769" i="6"/>
  <c r="D770" i="6"/>
  <c r="D771" i="6"/>
  <c r="D772" i="6"/>
  <c r="D773" i="6"/>
  <c r="D774" i="6"/>
  <c r="D775" i="6"/>
  <c r="D776" i="6"/>
  <c r="D777" i="6"/>
  <c r="D778" i="6"/>
  <c r="D779" i="6"/>
  <c r="D780" i="6"/>
  <c r="D781" i="6"/>
  <c r="D782" i="6"/>
  <c r="D783" i="6"/>
  <c r="D784" i="6"/>
  <c r="D785" i="6"/>
  <c r="D786" i="6"/>
  <c r="D787" i="6"/>
  <c r="D788" i="6"/>
  <c r="D789" i="6"/>
  <c r="D790" i="6"/>
  <c r="D791" i="6"/>
  <c r="D792" i="6"/>
  <c r="D793" i="6"/>
  <c r="D794" i="6"/>
  <c r="D795" i="6"/>
  <c r="D796" i="6"/>
  <c r="D717" i="6"/>
  <c r="D683" i="6" l="1"/>
  <c r="D655" i="6"/>
  <c r="J699" i="6"/>
  <c r="C706" i="6" s="1"/>
  <c r="J691" i="6"/>
  <c r="C693" i="6" s="1"/>
  <c r="J683" i="6"/>
  <c r="C686" i="6" s="1"/>
  <c r="J675" i="6"/>
  <c r="C677" i="6" s="1"/>
  <c r="J667" i="6"/>
  <c r="C669" i="6" s="1"/>
  <c r="J659" i="6"/>
  <c r="C662" i="6" s="1"/>
  <c r="J651" i="6"/>
  <c r="C653" i="6" s="1"/>
  <c r="D500" i="6"/>
  <c r="D496" i="6"/>
  <c r="D495" i="6"/>
  <c r="D491" i="6"/>
  <c r="D487" i="6"/>
  <c r="D488" i="6"/>
  <c r="D490" i="6"/>
  <c r="D486" i="6"/>
  <c r="D483" i="6"/>
  <c r="D484" i="6"/>
  <c r="D485" i="6"/>
  <c r="D482" i="6"/>
  <c r="D481" i="6"/>
  <c r="D478" i="6"/>
  <c r="D476" i="6"/>
  <c r="D474" i="6"/>
  <c r="D457" i="6"/>
  <c r="D458" i="6"/>
  <c r="D456" i="6"/>
  <c r="D453" i="6"/>
  <c r="D454" i="6"/>
  <c r="D455" i="6"/>
  <c r="D452" i="6"/>
  <c r="D433" i="6"/>
  <c r="D434" i="6"/>
  <c r="D435" i="6"/>
  <c r="D436" i="6"/>
  <c r="D437" i="6"/>
  <c r="D438" i="6"/>
  <c r="D439" i="6"/>
  <c r="D440" i="6"/>
  <c r="D441" i="6"/>
  <c r="D442" i="6"/>
  <c r="D443" i="6"/>
  <c r="D432" i="6"/>
  <c r="D429" i="6"/>
  <c r="D430" i="6"/>
  <c r="D431" i="6"/>
  <c r="D428" i="6"/>
  <c r="D425" i="6"/>
  <c r="D426" i="6"/>
  <c r="D427" i="6"/>
  <c r="D424" i="6"/>
  <c r="E410" i="6"/>
  <c r="E413" i="6" s="1"/>
  <c r="D410" i="6"/>
  <c r="D413" i="6" s="1"/>
  <c r="C410" i="6"/>
  <c r="C413" i="6" s="1"/>
  <c r="B410" i="6"/>
  <c r="B413" i="6" s="1"/>
  <c r="E409" i="6"/>
  <c r="E412" i="6" s="1"/>
  <c r="D409" i="6"/>
  <c r="D412" i="6" s="1"/>
  <c r="C409" i="6"/>
  <c r="C412" i="6" s="1"/>
  <c r="B409" i="6"/>
  <c r="E398" i="6"/>
  <c r="E400" i="6" s="1"/>
  <c r="D398" i="6"/>
  <c r="D400" i="6" s="1"/>
  <c r="C398" i="6"/>
  <c r="C400" i="6" s="1"/>
  <c r="B398" i="6"/>
  <c r="B400" i="6" s="1"/>
  <c r="B384" i="6"/>
  <c r="B388" i="6" s="1"/>
  <c r="C384" i="6"/>
  <c r="C388" i="6" s="1"/>
  <c r="D384" i="6"/>
  <c r="D388" i="6" s="1"/>
  <c r="E384" i="6"/>
  <c r="E388" i="6" s="1"/>
  <c r="B385" i="6"/>
  <c r="C385" i="6"/>
  <c r="C389" i="6" s="1"/>
  <c r="D385" i="6"/>
  <c r="D389" i="6" s="1"/>
  <c r="E385" i="6"/>
  <c r="E389" i="6" s="1"/>
  <c r="C383" i="6"/>
  <c r="C387" i="6" s="1"/>
  <c r="D383" i="6"/>
  <c r="D387" i="6" s="1"/>
  <c r="E383" i="6"/>
  <c r="E387" i="6" s="1"/>
  <c r="B383" i="6"/>
  <c r="B387" i="6" s="1"/>
  <c r="C361" i="6"/>
  <c r="D347" i="6"/>
  <c r="D343" i="6"/>
  <c r="D342" i="6"/>
  <c r="D340" i="6"/>
  <c r="D341" i="6"/>
  <c r="D339" i="6"/>
  <c r="B317" i="6"/>
  <c r="B316" i="6"/>
  <c r="B315" i="6"/>
  <c r="B314" i="6"/>
  <c r="B313" i="6"/>
  <c r="C313" i="6" s="1"/>
  <c r="D287" i="6"/>
  <c r="D285" i="6"/>
  <c r="D282" i="6"/>
  <c r="D263" i="6"/>
  <c r="D264" i="6"/>
  <c r="D265" i="6"/>
  <c r="D267" i="6"/>
  <c r="D268" i="6"/>
  <c r="D269" i="6"/>
  <c r="D270" i="6"/>
  <c r="D272" i="6"/>
  <c r="D273" i="6"/>
  <c r="D274" i="6"/>
  <c r="D275" i="6"/>
  <c r="D277" i="6"/>
  <c r="D278" i="6"/>
  <c r="D279" i="6"/>
  <c r="D280" i="6"/>
  <c r="D262" i="6"/>
  <c r="D258" i="6"/>
  <c r="D259" i="6"/>
  <c r="D261" i="6"/>
  <c r="D257" i="6"/>
  <c r="D244" i="6"/>
  <c r="D225" i="6"/>
  <c r="D226" i="6"/>
  <c r="D227" i="6"/>
  <c r="D228" i="6"/>
  <c r="D229" i="6"/>
  <c r="D230" i="6"/>
  <c r="D231" i="6"/>
  <c r="D232" i="6"/>
  <c r="D233" i="6"/>
  <c r="D234" i="6"/>
  <c r="D235" i="6"/>
  <c r="D236" i="6"/>
  <c r="D237" i="6"/>
  <c r="D238" i="6"/>
  <c r="D239" i="6"/>
  <c r="D240" i="6"/>
  <c r="D241" i="6"/>
  <c r="D242" i="6"/>
  <c r="D243" i="6"/>
  <c r="D224" i="6"/>
  <c r="D221" i="6"/>
  <c r="D222" i="6"/>
  <c r="D223" i="6"/>
  <c r="D220" i="6"/>
  <c r="D193" i="6"/>
  <c r="D194" i="6"/>
  <c r="D195" i="6"/>
  <c r="C205" i="6"/>
  <c r="D205" i="6" s="1"/>
  <c r="C206" i="6"/>
  <c r="D206" i="6" s="1"/>
  <c r="C207" i="6"/>
  <c r="C209" i="6"/>
  <c r="D209" i="6" s="1"/>
  <c r="C204" i="6"/>
  <c r="D204" i="6" s="1"/>
  <c r="C199" i="6"/>
  <c r="D199" i="6" s="1"/>
  <c r="C200" i="6"/>
  <c r="D200" i="6" s="1"/>
  <c r="C201" i="6"/>
  <c r="D201" i="6" s="1"/>
  <c r="C203" i="6"/>
  <c r="D203" i="6" s="1"/>
  <c r="C198" i="6"/>
  <c r="D198" i="6" s="1"/>
  <c r="C196" i="6"/>
  <c r="D196" i="6" s="1"/>
  <c r="C197" i="6"/>
  <c r="D197" i="6" s="1"/>
  <c r="C192" i="6"/>
  <c r="D192" i="6" s="1"/>
  <c r="C191" i="6"/>
  <c r="D191" i="6" s="1"/>
  <c r="C186" i="6"/>
  <c r="D186" i="6" s="1"/>
  <c r="C181" i="6"/>
  <c r="D181" i="6" s="1"/>
  <c r="C182" i="6"/>
  <c r="D182" i="6" s="1"/>
  <c r="C185" i="6"/>
  <c r="D185" i="6" s="1"/>
  <c r="C180" i="6"/>
  <c r="D180" i="6" s="1"/>
  <c r="B100" i="6"/>
  <c r="D100" i="6" s="1"/>
  <c r="B109" i="6"/>
  <c r="B108" i="6"/>
  <c r="D108" i="6" s="1"/>
  <c r="E108" i="6" s="1"/>
  <c r="B116" i="6" s="1"/>
  <c r="C116" i="6" s="1"/>
  <c r="B107" i="6"/>
  <c r="D107" i="6" s="1"/>
  <c r="E107" i="6" s="1"/>
  <c r="B106" i="6"/>
  <c r="D106" i="6" s="1"/>
  <c r="E106" i="6" s="1"/>
  <c r="B115" i="6" s="1"/>
  <c r="C115" i="6" s="1"/>
  <c r="B105" i="6"/>
  <c r="B104" i="6"/>
  <c r="D105" i="6" s="1"/>
  <c r="E105" i="6" s="1"/>
  <c r="B103" i="6"/>
  <c r="D103" i="6" s="1"/>
  <c r="E103" i="6" s="1"/>
  <c r="E66" i="6"/>
  <c r="E67" i="6"/>
  <c r="E68" i="6"/>
  <c r="E69" i="6"/>
  <c r="E65" i="6"/>
  <c r="D27" i="6"/>
  <c r="D24" i="6"/>
  <c r="D25" i="6"/>
  <c r="D21" i="6"/>
  <c r="E21" i="6" s="1"/>
  <c r="D22" i="6"/>
  <c r="D18" i="6"/>
  <c r="D16" i="6"/>
  <c r="D28" i="6"/>
  <c r="D26" i="6"/>
  <c r="D23" i="6"/>
  <c r="D20" i="6"/>
  <c r="D19" i="6"/>
  <c r="D17" i="6"/>
  <c r="D15" i="6"/>
  <c r="D14" i="6"/>
  <c r="D13" i="6"/>
  <c r="D12" i="6"/>
  <c r="C28" i="6"/>
  <c r="C27" i="6"/>
  <c r="C26" i="6"/>
  <c r="C25" i="6"/>
  <c r="C24" i="6"/>
  <c r="C23" i="6"/>
  <c r="C22" i="6"/>
  <c r="C20" i="6"/>
  <c r="C19" i="6"/>
  <c r="C18" i="6"/>
  <c r="C17" i="6"/>
  <c r="C16" i="6"/>
  <c r="C15" i="6"/>
  <c r="E15" i="6" s="1"/>
  <c r="C14" i="6"/>
  <c r="C13" i="6"/>
  <c r="E13" i="6" s="1"/>
  <c r="C12" i="6"/>
  <c r="E12" i="6" s="1"/>
  <c r="D668" i="6" l="1"/>
  <c r="D688" i="6"/>
  <c r="D685" i="6"/>
  <c r="D661" i="6"/>
  <c r="D651" i="6"/>
  <c r="C656" i="6"/>
  <c r="C660" i="6"/>
  <c r="E660" i="6" s="1"/>
  <c r="C687" i="6"/>
  <c r="D652" i="6"/>
  <c r="D675" i="6"/>
  <c r="D684" i="6"/>
  <c r="C655" i="6"/>
  <c r="C668" i="6"/>
  <c r="C685" i="6"/>
  <c r="D659" i="6"/>
  <c r="D680" i="6"/>
  <c r="D691" i="6"/>
  <c r="C652" i="6"/>
  <c r="C675" i="6"/>
  <c r="C684" i="6"/>
  <c r="D666" i="6"/>
  <c r="D676" i="6"/>
  <c r="D698" i="6"/>
  <c r="C659" i="6"/>
  <c r="C680" i="6"/>
  <c r="C691" i="6"/>
  <c r="D664" i="6"/>
  <c r="D696" i="6"/>
  <c r="C666" i="6"/>
  <c r="C676" i="6"/>
  <c r="C698" i="6"/>
  <c r="D663" i="6"/>
  <c r="D690" i="6"/>
  <c r="D695" i="6"/>
  <c r="C664" i="6"/>
  <c r="C683" i="6"/>
  <c r="C696" i="6"/>
  <c r="D692" i="6"/>
  <c r="C663" i="6"/>
  <c r="C690" i="6"/>
  <c r="C695" i="6"/>
  <c r="D656" i="6"/>
  <c r="D660" i="6"/>
  <c r="D687" i="6"/>
  <c r="C651" i="6"/>
  <c r="C661" i="6"/>
  <c r="E661" i="6" s="1"/>
  <c r="C688" i="6"/>
  <c r="C692" i="6"/>
  <c r="D700" i="6"/>
  <c r="D667" i="6"/>
  <c r="D699" i="6"/>
  <c r="C667" i="6"/>
  <c r="D658" i="6"/>
  <c r="D674" i="6"/>
  <c r="D682" i="6"/>
  <c r="D706" i="6"/>
  <c r="C658" i="6"/>
  <c r="C674" i="6"/>
  <c r="C682" i="6"/>
  <c r="D657" i="6"/>
  <c r="D665" i="6"/>
  <c r="D673" i="6"/>
  <c r="D681" i="6"/>
  <c r="D689" i="6"/>
  <c r="D697" i="6"/>
  <c r="D705" i="6"/>
  <c r="C657" i="6"/>
  <c r="C665" i="6"/>
  <c r="C673" i="6"/>
  <c r="C681" i="6"/>
  <c r="C689" i="6"/>
  <c r="C697" i="6"/>
  <c r="C705" i="6"/>
  <c r="E14" i="6"/>
  <c r="C704" i="6"/>
  <c r="C672" i="6"/>
  <c r="D703" i="6"/>
  <c r="C679" i="6"/>
  <c r="D654" i="6"/>
  <c r="D662" i="6"/>
  <c r="D670" i="6"/>
  <c r="D678" i="6"/>
  <c r="D686" i="6"/>
  <c r="D694" i="6"/>
  <c r="D702" i="6"/>
  <c r="C654" i="6"/>
  <c r="C670" i="6"/>
  <c r="E662" i="6" s="1"/>
  <c r="C678" i="6"/>
  <c r="C694" i="6"/>
  <c r="C702" i="6"/>
  <c r="D672" i="6"/>
  <c r="D704" i="6"/>
  <c r="D671" i="6"/>
  <c r="D679" i="6"/>
  <c r="C671" i="6"/>
  <c r="C703" i="6"/>
  <c r="D653" i="6"/>
  <c r="D669" i="6"/>
  <c r="D677" i="6"/>
  <c r="D693" i="6"/>
  <c r="D701" i="6"/>
  <c r="C701" i="6"/>
  <c r="C700" i="6"/>
  <c r="C699" i="6"/>
  <c r="F409" i="6"/>
  <c r="F413" i="6"/>
  <c r="F385" i="6"/>
  <c r="F387" i="6"/>
  <c r="B412" i="6"/>
  <c r="F412" i="6"/>
  <c r="F410" i="6"/>
  <c r="F388" i="6"/>
  <c r="F384" i="6"/>
  <c r="F383" i="6"/>
  <c r="B389" i="6"/>
  <c r="F389" i="6" s="1"/>
  <c r="F400" i="6"/>
  <c r="F398" i="6"/>
  <c r="E20" i="6"/>
  <c r="B112" i="6"/>
  <c r="C112" i="6" s="1"/>
  <c r="D104" i="6"/>
  <c r="E104" i="6" s="1"/>
  <c r="B113" i="6" s="1"/>
  <c r="C113" i="6" s="1"/>
  <c r="E27" i="6"/>
  <c r="E22" i="6"/>
  <c r="E28" i="6"/>
  <c r="E23" i="6"/>
  <c r="E24" i="6"/>
  <c r="E25" i="6"/>
  <c r="E18" i="6"/>
  <c r="E16" i="6"/>
  <c r="E17" i="6"/>
  <c r="E26" i="6"/>
  <c r="E19" i="6"/>
  <c r="D207" i="6"/>
  <c r="D109" i="6"/>
  <c r="E109" i="6" s="1"/>
  <c r="B114" i="6" s="1"/>
  <c r="C114" i="6" s="1"/>
  <c r="B66" i="9"/>
  <c r="C13" i="9"/>
  <c r="B83" i="9"/>
  <c r="B67" i="9"/>
  <c r="B68" i="9"/>
  <c r="B69" i="9"/>
  <c r="B70" i="9"/>
  <c r="B71" i="9"/>
  <c r="B72" i="9"/>
  <c r="B73" i="9"/>
  <c r="B74" i="9"/>
  <c r="B75" i="9"/>
  <c r="B76" i="9"/>
  <c r="B77" i="9"/>
  <c r="B78" i="9"/>
  <c r="B79" i="9"/>
  <c r="B80" i="9"/>
  <c r="B81" i="9"/>
  <c r="B82" i="9"/>
  <c r="B65" i="9"/>
  <c r="B88" i="8"/>
  <c r="E666" i="6" l="1"/>
  <c r="E665" i="6"/>
  <c r="E659" i="6"/>
  <c r="E664" i="6"/>
  <c r="E663" i="6"/>
  <c r="D364" i="7"/>
  <c r="D363" i="7"/>
  <c r="C362" i="7"/>
  <c r="C361" i="7"/>
  <c r="C360" i="7"/>
  <c r="B365" i="7"/>
  <c r="D305" i="7"/>
  <c r="D304" i="7"/>
  <c r="D303" i="7"/>
  <c r="C301" i="7"/>
  <c r="C300" i="7"/>
  <c r="B238" i="7"/>
  <c r="C238" i="7"/>
  <c r="D238" i="7"/>
  <c r="E238" i="7"/>
  <c r="F238" i="7"/>
  <c r="B239" i="7"/>
  <c r="C239" i="7"/>
  <c r="D239" i="7"/>
  <c r="E239" i="7"/>
  <c r="F239" i="7"/>
  <c r="B240" i="7"/>
  <c r="C240" i="7"/>
  <c r="D240" i="7"/>
  <c r="E240" i="7"/>
  <c r="F240" i="7"/>
  <c r="B241" i="7"/>
  <c r="C241" i="7"/>
  <c r="D241" i="7"/>
  <c r="E241" i="7"/>
  <c r="F241" i="7"/>
  <c r="B242" i="7"/>
  <c r="C242" i="7"/>
  <c r="D242" i="7"/>
  <c r="E242" i="7"/>
  <c r="F242" i="7"/>
  <c r="B243" i="7"/>
  <c r="C243" i="7"/>
  <c r="D243" i="7"/>
  <c r="E243" i="7"/>
  <c r="F243" i="7"/>
  <c r="B244" i="7"/>
  <c r="C244" i="7"/>
  <c r="D244" i="7"/>
  <c r="E244" i="7"/>
  <c r="F244" i="7"/>
  <c r="B245" i="7"/>
  <c r="C245" i="7"/>
  <c r="D245" i="7"/>
  <c r="E245" i="7"/>
  <c r="F245" i="7"/>
  <c r="B246" i="7"/>
  <c r="C246" i="7"/>
  <c r="D246" i="7"/>
  <c r="E246" i="7"/>
  <c r="F246" i="7"/>
  <c r="B247" i="7"/>
  <c r="C247" i="7"/>
  <c r="D247" i="7"/>
  <c r="E247" i="7"/>
  <c r="F247" i="7"/>
  <c r="B248" i="7"/>
  <c r="C248" i="7"/>
  <c r="D248" i="7"/>
  <c r="E248" i="7"/>
  <c r="F248" i="7"/>
  <c r="B249" i="7"/>
  <c r="C249" i="7"/>
  <c r="D249" i="7"/>
  <c r="E249" i="7"/>
  <c r="F249" i="7"/>
  <c r="B250" i="7"/>
  <c r="C250" i="7"/>
  <c r="D250" i="7"/>
  <c r="E250" i="7"/>
  <c r="F250" i="7"/>
  <c r="B251" i="7"/>
  <c r="G251" i="7" s="1"/>
  <c r="C251" i="7"/>
  <c r="D251" i="7"/>
  <c r="E251" i="7"/>
  <c r="F251" i="7"/>
  <c r="B252" i="7"/>
  <c r="C252" i="7"/>
  <c r="D252" i="7"/>
  <c r="E252" i="7"/>
  <c r="F252" i="7"/>
  <c r="B253" i="7"/>
  <c r="C253" i="7"/>
  <c r="D253" i="7"/>
  <c r="E253" i="7"/>
  <c r="F253" i="7"/>
  <c r="B254" i="7"/>
  <c r="C254" i="7"/>
  <c r="D254" i="7"/>
  <c r="E254" i="7"/>
  <c r="F254" i="7"/>
  <c r="B255" i="7"/>
  <c r="C255" i="7"/>
  <c r="D255" i="7"/>
  <c r="E255" i="7"/>
  <c r="F255" i="7"/>
  <c r="C237" i="7"/>
  <c r="D237" i="7"/>
  <c r="E237" i="7"/>
  <c r="F237" i="7"/>
  <c r="B237" i="7"/>
  <c r="G237" i="7" s="1"/>
  <c r="E148" i="7"/>
  <c r="D147" i="7"/>
  <c r="D146" i="7"/>
  <c r="D145" i="7"/>
  <c r="C144" i="7"/>
  <c r="C143" i="7"/>
  <c r="B142" i="7"/>
  <c r="B90" i="7"/>
  <c r="D53" i="7"/>
  <c r="G238" i="7" l="1"/>
  <c r="G249" i="7"/>
  <c r="G244" i="7"/>
  <c r="G252" i="7"/>
  <c r="G239" i="7"/>
  <c r="G242" i="7"/>
  <c r="G245" i="7"/>
  <c r="G248" i="7"/>
  <c r="G240" i="7"/>
  <c r="G243" i="7"/>
  <c r="G247" i="7"/>
  <c r="G254" i="7"/>
  <c r="G246" i="7"/>
  <c r="G255" i="7"/>
  <c r="G250" i="7"/>
  <c r="G253" i="7"/>
  <c r="G241" i="7"/>
  <c r="B750" i="1"/>
  <c r="B751" i="1"/>
  <c r="B752" i="1"/>
  <c r="B753" i="1"/>
  <c r="B754" i="1"/>
  <c r="B749" i="1"/>
  <c r="E744" i="1"/>
  <c r="E754" i="1" s="1"/>
  <c r="D744" i="1"/>
  <c r="D754" i="1" s="1"/>
  <c r="C744" i="1"/>
  <c r="C754" i="1" s="1"/>
  <c r="C719" i="1"/>
  <c r="C718" i="1"/>
  <c r="B719" i="1"/>
  <c r="B718" i="1"/>
  <c r="B543" i="2"/>
  <c r="C440" i="2" l="1"/>
  <c r="C441" i="2"/>
  <c r="C442" i="2"/>
  <c r="C443" i="2"/>
  <c r="C444" i="2"/>
  <c r="C445" i="2"/>
  <c r="C446" i="2"/>
  <c r="C447" i="2"/>
  <c r="C448" i="2"/>
  <c r="C449" i="2"/>
  <c r="B447" i="2"/>
  <c r="B448" i="2"/>
  <c r="B449" i="2"/>
  <c r="B446" i="2"/>
  <c r="B445" i="2"/>
  <c r="B443" i="2"/>
  <c r="B444" i="2"/>
  <c r="B442" i="2"/>
  <c r="B441" i="2"/>
  <c r="B440" i="2"/>
  <c r="B334" i="2" l="1"/>
  <c r="B333" i="2"/>
  <c r="B332" i="2"/>
  <c r="B331" i="2"/>
  <c r="B330" i="2"/>
  <c r="B329" i="2"/>
  <c r="B328" i="2"/>
  <c r="B327" i="2"/>
  <c r="B326" i="2"/>
  <c r="B325" i="2"/>
  <c r="C304" i="2"/>
  <c r="C303" i="2"/>
  <c r="C302" i="2"/>
  <c r="B303" i="2"/>
  <c r="B304" i="2"/>
  <c r="B302" i="2"/>
  <c r="B276" i="2"/>
  <c r="B275" i="2"/>
  <c r="B250" i="2"/>
  <c r="B249" i="2"/>
  <c r="B222" i="2"/>
  <c r="B221" i="2"/>
  <c r="B173" i="2"/>
  <c r="B172" i="2"/>
  <c r="B158" i="2"/>
  <c r="B157" i="2"/>
  <c r="B156" i="2"/>
  <c r="B116" i="2"/>
  <c r="E119" i="2" s="1"/>
  <c r="B118" i="2"/>
  <c r="E118" i="2" s="1"/>
  <c r="B117" i="2"/>
  <c r="E117" i="2" l="1"/>
  <c r="C54" i="2" l="1"/>
  <c r="C55" i="2"/>
  <c r="C56" i="2"/>
  <c r="C53" i="2"/>
  <c r="C36" i="2"/>
  <c r="C37" i="2"/>
  <c r="C38" i="2"/>
  <c r="C35" i="2"/>
  <c r="B16" i="2" l="1"/>
  <c r="B15" i="2"/>
  <c r="C16" i="2"/>
  <c r="C15" i="2"/>
  <c r="C14" i="2"/>
  <c r="C13" i="2"/>
  <c r="C685" i="1" l="1"/>
  <c r="C684" i="1"/>
  <c r="B685" i="1"/>
  <c r="B684" i="1"/>
  <c r="C683" i="1"/>
  <c r="B683" i="1"/>
  <c r="J30" i="1"/>
  <c r="J31" i="1"/>
  <c r="J32" i="1"/>
  <c r="J33" i="1"/>
  <c r="J34" i="1"/>
  <c r="J35" i="1"/>
  <c r="J36" i="1"/>
  <c r="J37" i="1"/>
  <c r="J38" i="1"/>
  <c r="J39" i="1"/>
  <c r="J40" i="1"/>
  <c r="J41" i="1"/>
  <c r="J42" i="1"/>
  <c r="J43" i="1"/>
  <c r="J44" i="1"/>
  <c r="J45" i="1"/>
  <c r="J46" i="1"/>
  <c r="J47" i="1"/>
  <c r="J48" i="1"/>
  <c r="J29" i="1"/>
  <c r="F67" i="1"/>
  <c r="B210" i="1" l="1"/>
  <c r="B209" i="1"/>
  <c r="B208" i="1"/>
  <c r="F65" i="1"/>
  <c r="C210" i="1" l="1"/>
  <c r="F66" i="1"/>
  <c r="F68" i="1"/>
  <c r="F69" i="1"/>
  <c r="F70" i="1"/>
  <c r="F71" i="1"/>
  <c r="F72" i="1"/>
  <c r="F73" i="1"/>
  <c r="F74" i="1"/>
  <c r="F75" i="1"/>
  <c r="F76" i="1"/>
  <c r="B624" i="1"/>
  <c r="E621" i="1"/>
  <c r="E622" i="1"/>
  <c r="B623" i="1"/>
  <c r="D623" i="1"/>
  <c r="E623" i="1"/>
  <c r="F623" i="1"/>
  <c r="D624" i="1"/>
  <c r="E624" i="1"/>
  <c r="F624" i="1"/>
  <c r="B625" i="1"/>
  <c r="D625" i="1"/>
  <c r="E625" i="1"/>
  <c r="F625" i="1"/>
  <c r="B626" i="1"/>
  <c r="D626" i="1"/>
  <c r="E626" i="1"/>
  <c r="F626" i="1"/>
  <c r="E627" i="1"/>
  <c r="E628" i="1"/>
  <c r="E629" i="1"/>
  <c r="B630" i="1"/>
  <c r="D630" i="1"/>
  <c r="E630" i="1"/>
  <c r="F630" i="1"/>
  <c r="B631" i="1"/>
  <c r="C631" i="1"/>
  <c r="D631" i="1"/>
  <c r="E631" i="1"/>
  <c r="F631" i="1"/>
  <c r="E632" i="1"/>
  <c r="B633" i="1"/>
  <c r="D633" i="1"/>
  <c r="E633" i="1"/>
  <c r="F633" i="1"/>
  <c r="E620" i="1"/>
  <c r="F605" i="1"/>
  <c r="F606" i="1"/>
  <c r="F607" i="1"/>
  <c r="F608" i="1"/>
  <c r="F612" i="1"/>
  <c r="F613" i="1"/>
  <c r="F615" i="1"/>
  <c r="D605" i="1"/>
  <c r="D606" i="1"/>
  <c r="D607" i="1"/>
  <c r="D608" i="1"/>
  <c r="D612" i="1"/>
  <c r="D613" i="1"/>
  <c r="D615" i="1"/>
  <c r="C613" i="1"/>
  <c r="B605" i="1"/>
  <c r="B606" i="1"/>
  <c r="B607" i="1"/>
  <c r="B608" i="1"/>
  <c r="B612" i="1"/>
  <c r="B613" i="1"/>
  <c r="B615" i="1"/>
  <c r="F596" i="1"/>
  <c r="F632" i="1" s="1"/>
  <c r="F593" i="1"/>
  <c r="F629" i="1" s="1"/>
  <c r="F592" i="1"/>
  <c r="F628" i="1" s="1"/>
  <c r="F591" i="1"/>
  <c r="F627" i="1" s="1"/>
  <c r="F586" i="1"/>
  <c r="F604" i="1" s="1"/>
  <c r="F585" i="1"/>
  <c r="F621" i="1" s="1"/>
  <c r="F584" i="1"/>
  <c r="F620" i="1" s="1"/>
  <c r="D596" i="1"/>
  <c r="D614" i="1" s="1"/>
  <c r="D593" i="1"/>
  <c r="D629" i="1" s="1"/>
  <c r="D592" i="1"/>
  <c r="D610" i="1" s="1"/>
  <c r="D591" i="1"/>
  <c r="D627" i="1" s="1"/>
  <c r="D586" i="1"/>
  <c r="D622" i="1" s="1"/>
  <c r="D585" i="1"/>
  <c r="D621" i="1" s="1"/>
  <c r="D584" i="1"/>
  <c r="D602" i="1" s="1"/>
  <c r="C597" i="1"/>
  <c r="C615" i="1" s="1"/>
  <c r="C596" i="1"/>
  <c r="C632" i="1" s="1"/>
  <c r="C594" i="1"/>
  <c r="C612" i="1" s="1"/>
  <c r="C593" i="1"/>
  <c r="C629" i="1" s="1"/>
  <c r="C592" i="1"/>
  <c r="C610" i="1" s="1"/>
  <c r="C591" i="1"/>
  <c r="C627" i="1" s="1"/>
  <c r="C590" i="1"/>
  <c r="C608" i="1" s="1"/>
  <c r="C589" i="1"/>
  <c r="C625" i="1" s="1"/>
  <c r="C588" i="1"/>
  <c r="C606" i="1" s="1"/>
  <c r="C587" i="1"/>
  <c r="C623" i="1" s="1"/>
  <c r="C586" i="1"/>
  <c r="C622" i="1" s="1"/>
  <c r="C585" i="1"/>
  <c r="C621" i="1" s="1"/>
  <c r="C584" i="1"/>
  <c r="C602" i="1" s="1"/>
  <c r="B596" i="1"/>
  <c r="B632" i="1" s="1"/>
  <c r="B593" i="1"/>
  <c r="B629" i="1" s="1"/>
  <c r="B592" i="1"/>
  <c r="B610" i="1" s="1"/>
  <c r="B591" i="1"/>
  <c r="B609" i="1" s="1"/>
  <c r="B586" i="1"/>
  <c r="B604" i="1" s="1"/>
  <c r="B585" i="1"/>
  <c r="B603" i="1" s="1"/>
  <c r="B584" i="1"/>
  <c r="B620" i="1" s="1"/>
  <c r="F610" i="1" l="1"/>
  <c r="B614" i="1"/>
  <c r="C633" i="1"/>
  <c r="D628" i="1"/>
  <c r="F611" i="1"/>
  <c r="B627" i="1"/>
  <c r="F602" i="1"/>
  <c r="C607" i="1"/>
  <c r="D604" i="1"/>
  <c r="B602" i="1"/>
  <c r="F603" i="1"/>
  <c r="B622" i="1"/>
  <c r="C605" i="1"/>
  <c r="D611" i="1"/>
  <c r="D603" i="1"/>
  <c r="F609" i="1"/>
  <c r="C628" i="1"/>
  <c r="C611" i="1"/>
  <c r="C603" i="1"/>
  <c r="D609" i="1"/>
  <c r="D620" i="1"/>
  <c r="C626" i="1"/>
  <c r="F622" i="1"/>
  <c r="C614" i="1"/>
  <c r="F614" i="1"/>
  <c r="C620" i="1"/>
  <c r="D632" i="1"/>
  <c r="B621" i="1"/>
  <c r="C630" i="1"/>
  <c r="B611" i="1"/>
  <c r="C609" i="1"/>
  <c r="C624" i="1"/>
  <c r="C604" i="1"/>
  <c r="B628" i="1"/>
  <c r="D553" i="1"/>
  <c r="D554" i="1"/>
  <c r="D555" i="1"/>
  <c r="D556" i="1"/>
  <c r="D552" i="1"/>
  <c r="G514" i="1"/>
  <c r="H514" i="1" s="1"/>
  <c r="D514" i="1"/>
  <c r="E514" i="1" s="1"/>
  <c r="G513" i="1"/>
  <c r="H513" i="1" s="1"/>
  <c r="D513" i="1"/>
  <c r="E513" i="1" s="1"/>
  <c r="G508" i="1"/>
  <c r="H508" i="1" s="1"/>
  <c r="G507" i="1"/>
  <c r="H507" i="1" s="1"/>
  <c r="D508" i="1"/>
  <c r="E508" i="1" s="1"/>
  <c r="D507" i="1"/>
  <c r="E507" i="1" s="1"/>
  <c r="B531" i="1"/>
  <c r="E525" i="1" s="1"/>
  <c r="F525" i="1" s="1"/>
  <c r="B526" i="1"/>
  <c r="C526" i="1" s="1"/>
  <c r="B525" i="1"/>
  <c r="C525" i="1" s="1"/>
  <c r="D526" i="1" l="1"/>
  <c r="D525" i="1"/>
  <c r="E526" i="1"/>
  <c r="F526" i="1" s="1"/>
  <c r="C413" i="1"/>
  <c r="C414" i="1"/>
  <c r="C415" i="1"/>
  <c r="C416" i="1"/>
  <c r="C417" i="1"/>
  <c r="C418" i="1"/>
  <c r="C419" i="1"/>
  <c r="C420" i="1"/>
  <c r="C421" i="1"/>
  <c r="C422" i="1"/>
  <c r="C423" i="1"/>
  <c r="C424" i="1"/>
  <c r="C425" i="1"/>
  <c r="C426" i="1"/>
  <c r="C427" i="1"/>
  <c r="C428" i="1"/>
  <c r="C429" i="1"/>
  <c r="C430" i="1"/>
  <c r="C431" i="1"/>
  <c r="C412" i="1"/>
  <c r="B413" i="1"/>
  <c r="B414" i="1"/>
  <c r="B415" i="1"/>
  <c r="B416" i="1"/>
  <c r="B417" i="1"/>
  <c r="B418" i="1"/>
  <c r="B419" i="1"/>
  <c r="B420" i="1"/>
  <c r="B421" i="1"/>
  <c r="B422" i="1"/>
  <c r="B423" i="1"/>
  <c r="B424" i="1"/>
  <c r="B425" i="1"/>
  <c r="B426" i="1"/>
  <c r="B427" i="1"/>
  <c r="B428" i="1"/>
  <c r="B429" i="1"/>
  <c r="B430" i="1"/>
  <c r="B431" i="1"/>
  <c r="B412" i="1"/>
  <c r="L444" i="1"/>
  <c r="L445" i="1"/>
  <c r="L446" i="1"/>
  <c r="L447" i="1"/>
  <c r="L448" i="1"/>
  <c r="L449" i="1"/>
  <c r="L450" i="1"/>
  <c r="L451" i="1"/>
  <c r="L452" i="1"/>
  <c r="L453" i="1"/>
  <c r="L454" i="1"/>
  <c r="L443" i="1"/>
  <c r="K446" i="1"/>
  <c r="E455" i="1"/>
  <c r="K448" i="1" s="1"/>
  <c r="B455" i="1"/>
  <c r="H448" i="1" s="1"/>
  <c r="K447" i="1" l="1"/>
  <c r="K453" i="1"/>
  <c r="H454" i="1"/>
  <c r="H453" i="1"/>
  <c r="H451" i="1"/>
  <c r="H447" i="1"/>
  <c r="K445" i="1"/>
  <c r="H446" i="1"/>
  <c r="H445" i="1"/>
  <c r="K443" i="1"/>
  <c r="H443" i="1"/>
  <c r="K454" i="1"/>
  <c r="H452" i="1"/>
  <c r="H444" i="1"/>
  <c r="K452" i="1"/>
  <c r="K444" i="1"/>
  <c r="K451" i="1"/>
  <c r="H450" i="1"/>
  <c r="K450" i="1"/>
  <c r="H449" i="1"/>
  <c r="K449" i="1"/>
  <c r="B377" i="1"/>
  <c r="C377" i="1" s="1"/>
  <c r="B376" i="1"/>
  <c r="C376" i="1" s="1"/>
  <c r="B375" i="1"/>
  <c r="C375" i="1" s="1"/>
  <c r="B374" i="1"/>
  <c r="C374" i="1" s="1"/>
  <c r="B373" i="1"/>
  <c r="C373" i="1" s="1"/>
  <c r="B372" i="1"/>
  <c r="C372" i="1" s="1"/>
  <c r="B369" i="1"/>
  <c r="C369" i="1" s="1"/>
  <c r="B371" i="1"/>
  <c r="C371" i="1" s="1"/>
  <c r="B370" i="1"/>
  <c r="C370" i="1" s="1"/>
  <c r="B368" i="1"/>
  <c r="C368" i="1" s="1"/>
  <c r="B379" i="1" l="1"/>
  <c r="C379" i="1" s="1"/>
  <c r="B319" i="1"/>
  <c r="B309" i="1"/>
  <c r="B310" i="1"/>
  <c r="B311" i="1"/>
  <c r="B312" i="1"/>
  <c r="B313" i="1"/>
  <c r="B314" i="1"/>
  <c r="B315" i="1"/>
  <c r="B308" i="1"/>
  <c r="B304" i="1"/>
  <c r="C296" i="1" s="1"/>
  <c r="C299" i="1" l="1"/>
  <c r="C303" i="1"/>
  <c r="C302" i="1"/>
  <c r="C301" i="1"/>
  <c r="C300" i="1"/>
  <c r="B320" i="1"/>
  <c r="C297" i="1"/>
  <c r="C298" i="1"/>
  <c r="C295" i="1"/>
  <c r="C270" i="1"/>
  <c r="C281" i="1" s="1"/>
  <c r="B270" i="1"/>
  <c r="B275" i="1" s="1"/>
  <c r="C308" i="1" l="1"/>
  <c r="E553" i="1"/>
  <c r="E554" i="1"/>
  <c r="E555" i="1"/>
  <c r="E552" i="1"/>
  <c r="E556" i="1"/>
  <c r="C304" i="1"/>
  <c r="C455" i="1"/>
  <c r="C316" i="1"/>
  <c r="C311" i="1"/>
  <c r="C317" i="1"/>
  <c r="C312" i="1"/>
  <c r="C313" i="1"/>
  <c r="C310" i="1"/>
  <c r="C318" i="1"/>
  <c r="C314" i="1"/>
  <c r="C315" i="1"/>
  <c r="C319" i="1"/>
  <c r="C309" i="1"/>
  <c r="B281" i="1"/>
  <c r="B284" i="1"/>
  <c r="B280" i="1"/>
  <c r="C277" i="1"/>
  <c r="C284" i="1"/>
  <c r="C279" i="1"/>
  <c r="B282" i="1"/>
  <c r="C275" i="1"/>
  <c r="C283" i="1"/>
  <c r="C274" i="1"/>
  <c r="C280" i="1"/>
  <c r="B283" i="1"/>
  <c r="B277" i="1"/>
  <c r="B276" i="1"/>
  <c r="C282" i="1"/>
  <c r="B274" i="1"/>
  <c r="C278" i="1"/>
  <c r="B279" i="1"/>
  <c r="B278" i="1"/>
  <c r="C276" i="1"/>
  <c r="B249" i="1"/>
  <c r="B248" i="1"/>
  <c r="D227" i="1"/>
  <c r="E227" i="1" s="1"/>
  <c r="C225" i="1"/>
  <c r="C226" i="1"/>
  <c r="C227" i="1"/>
  <c r="B227" i="1"/>
  <c r="B226" i="1"/>
  <c r="B225" i="1"/>
  <c r="I444" i="1" l="1"/>
  <c r="I452" i="1"/>
  <c r="I451" i="1"/>
  <c r="I445" i="1"/>
  <c r="I453" i="1"/>
  <c r="I450" i="1"/>
  <c r="I446" i="1"/>
  <c r="I454" i="1"/>
  <c r="I447" i="1"/>
  <c r="I443" i="1"/>
  <c r="I448" i="1"/>
  <c r="I449" i="1"/>
  <c r="D248" i="1"/>
  <c r="C248" i="1"/>
  <c r="D249" i="1"/>
  <c r="C249" i="1"/>
  <c r="AK103" i="1" l="1"/>
  <c r="AL103" i="1" s="1"/>
  <c r="AK122" i="1"/>
  <c r="AN122" i="1" s="1"/>
  <c r="AK88" i="1"/>
  <c r="AO88" i="1" s="1"/>
  <c r="AK95" i="1"/>
  <c r="AN95" i="1" s="1"/>
  <c r="AK104" i="1"/>
  <c r="AO104" i="1" s="1"/>
  <c r="AK87" i="1"/>
  <c r="AM87" i="1" s="1"/>
  <c r="C121" i="1" s="1"/>
  <c r="AK86" i="1"/>
  <c r="AM86" i="1" s="1"/>
  <c r="B121" i="1" s="1"/>
  <c r="AK132" i="1"/>
  <c r="AM132" i="1" s="1"/>
  <c r="AK105" i="1"/>
  <c r="AO105" i="1" s="1"/>
  <c r="AK142" i="1"/>
  <c r="AO142" i="1" s="1"/>
  <c r="Q123" i="1" s="1"/>
  <c r="AK133" i="1"/>
  <c r="AO133" i="1" s="1"/>
  <c r="AK106" i="1"/>
  <c r="AM106" i="1" s="1"/>
  <c r="AK134" i="1"/>
  <c r="AM134" i="1" s="1"/>
  <c r="AK89" i="1"/>
  <c r="AO89" i="1" s="1"/>
  <c r="AK96" i="1"/>
  <c r="AM96" i="1" s="1"/>
  <c r="AK135" i="1"/>
  <c r="AO135" i="1" s="1"/>
  <c r="AK107" i="1"/>
  <c r="AO107" i="1" s="1"/>
  <c r="AK123" i="1"/>
  <c r="AP123" i="1" s="1"/>
  <c r="AK90" i="1"/>
  <c r="AO90" i="1" s="1"/>
  <c r="AK97" i="1"/>
  <c r="AM97" i="1" s="1"/>
  <c r="AK136" i="1"/>
  <c r="AO136" i="1" s="1"/>
  <c r="AK108" i="1"/>
  <c r="AM108" i="1" s="1"/>
  <c r="AK137" i="1"/>
  <c r="AL137" i="1" s="1"/>
  <c r="AK109" i="1"/>
  <c r="AM109" i="1" s="1"/>
  <c r="AK124" i="1"/>
  <c r="AO124" i="1" s="1"/>
  <c r="AK118" i="1"/>
  <c r="AO118" i="1" s="1"/>
  <c r="AK121" i="1"/>
  <c r="AP121" i="1" s="1"/>
  <c r="AK138" i="1"/>
  <c r="AM138" i="1" s="1"/>
  <c r="AK110" i="1"/>
  <c r="AL110" i="1" s="1"/>
  <c r="AK125" i="1"/>
  <c r="AM125" i="1" s="1"/>
  <c r="AK98" i="1"/>
  <c r="AM98" i="1" s="1"/>
  <c r="AK139" i="1"/>
  <c r="AL139" i="1" s="1"/>
  <c r="AK111" i="1"/>
  <c r="AM111" i="1" s="1"/>
  <c r="AK140" i="1"/>
  <c r="AM140" i="1" s="1"/>
  <c r="AK112" i="1"/>
  <c r="AM112" i="1" s="1"/>
  <c r="AK126" i="1"/>
  <c r="AM126" i="1" s="1"/>
  <c r="AK113" i="1"/>
  <c r="AM113" i="1" s="1"/>
  <c r="AK143" i="1"/>
  <c r="AM143" i="1" s="1"/>
  <c r="M121" i="1" s="1"/>
  <c r="AK114" i="1"/>
  <c r="AL114" i="1" s="1"/>
  <c r="AK127" i="1"/>
  <c r="AM127" i="1" s="1"/>
  <c r="AK91" i="1"/>
  <c r="AN91" i="1" s="1"/>
  <c r="AK99" i="1"/>
  <c r="AM99" i="1" s="1"/>
  <c r="AK115" i="1"/>
  <c r="AL115" i="1" s="1"/>
  <c r="AK92" i="1"/>
  <c r="AM92" i="1" s="1"/>
  <c r="AK100" i="1"/>
  <c r="AM100" i="1" s="1"/>
  <c r="AK141" i="1"/>
  <c r="AM141" i="1" s="1"/>
  <c r="AK116" i="1"/>
  <c r="AM116" i="1" s="1"/>
  <c r="AK128" i="1"/>
  <c r="AL128" i="1" s="1"/>
  <c r="AK119" i="1"/>
  <c r="AN119" i="1" s="1"/>
  <c r="AK120" i="1"/>
  <c r="AM120" i="1" s="1"/>
  <c r="J121" i="1" s="1"/>
  <c r="AK129" i="1"/>
  <c r="AO129" i="1" s="1"/>
  <c r="AK93" i="1"/>
  <c r="AM93" i="1" s="1"/>
  <c r="AK101" i="1"/>
  <c r="AM101" i="1" s="1"/>
  <c r="AK117" i="1"/>
  <c r="AM117" i="1" s="1"/>
  <c r="AK130" i="1"/>
  <c r="AL130" i="1" s="1"/>
  <c r="AK94" i="1"/>
  <c r="AM94" i="1" s="1"/>
  <c r="AK102" i="1"/>
  <c r="AL102" i="1" s="1"/>
  <c r="AK131" i="1"/>
  <c r="AO131" i="1" s="1"/>
  <c r="E66" i="1"/>
  <c r="E67" i="1"/>
  <c r="E68" i="1"/>
  <c r="E69" i="1"/>
  <c r="E70" i="1"/>
  <c r="E71" i="1"/>
  <c r="E72" i="1"/>
  <c r="E73" i="1"/>
  <c r="E74" i="1"/>
  <c r="E75" i="1"/>
  <c r="E76" i="1"/>
  <c r="E65" i="1"/>
  <c r="C66" i="1"/>
  <c r="C67" i="1"/>
  <c r="C68" i="1"/>
  <c r="C69" i="1"/>
  <c r="C70" i="1"/>
  <c r="C71" i="1"/>
  <c r="C72" i="1"/>
  <c r="C73" i="1"/>
  <c r="C74" i="1"/>
  <c r="C75" i="1"/>
  <c r="C76" i="1"/>
  <c r="C65" i="1"/>
  <c r="I30" i="1"/>
  <c r="I31" i="1"/>
  <c r="I32" i="1"/>
  <c r="I33" i="1"/>
  <c r="I34" i="1"/>
  <c r="I35" i="1"/>
  <c r="I36" i="1"/>
  <c r="I37" i="1"/>
  <c r="I38" i="1"/>
  <c r="I39" i="1"/>
  <c r="I40" i="1"/>
  <c r="I41" i="1"/>
  <c r="I42" i="1"/>
  <c r="I43" i="1"/>
  <c r="I44" i="1"/>
  <c r="I45" i="1"/>
  <c r="I46" i="1"/>
  <c r="I47" i="1"/>
  <c r="I48" i="1"/>
  <c r="I29" i="1"/>
  <c r="G30" i="1"/>
  <c r="G31" i="1"/>
  <c r="G32" i="1"/>
  <c r="G33" i="1"/>
  <c r="G34" i="1"/>
  <c r="G35" i="1"/>
  <c r="G36" i="1"/>
  <c r="G37" i="1"/>
  <c r="G38" i="1"/>
  <c r="G39" i="1"/>
  <c r="G40" i="1"/>
  <c r="G41" i="1"/>
  <c r="G42" i="1"/>
  <c r="G43" i="1"/>
  <c r="G44" i="1"/>
  <c r="G45" i="1"/>
  <c r="G46" i="1"/>
  <c r="G47" i="1"/>
  <c r="G48" i="1"/>
  <c r="G29" i="1"/>
  <c r="E30" i="1"/>
  <c r="E31" i="1"/>
  <c r="E32" i="1"/>
  <c r="E33" i="1"/>
  <c r="E34" i="1"/>
  <c r="E35" i="1"/>
  <c r="E36" i="1"/>
  <c r="E37" i="1"/>
  <c r="E38" i="1"/>
  <c r="E39" i="1"/>
  <c r="E40" i="1"/>
  <c r="E41" i="1"/>
  <c r="E42" i="1"/>
  <c r="E43" i="1"/>
  <c r="E44" i="1"/>
  <c r="E45" i="1"/>
  <c r="E46" i="1"/>
  <c r="E47" i="1"/>
  <c r="E48" i="1"/>
  <c r="E29" i="1"/>
  <c r="C48" i="1"/>
  <c r="C30" i="1"/>
  <c r="C31" i="1"/>
  <c r="C32" i="1"/>
  <c r="C33" i="1"/>
  <c r="C34" i="1"/>
  <c r="C35" i="1"/>
  <c r="C36" i="1"/>
  <c r="C37" i="1"/>
  <c r="C38" i="1"/>
  <c r="C39" i="1"/>
  <c r="C40" i="1"/>
  <c r="C41" i="1"/>
  <c r="C42" i="1"/>
  <c r="C43" i="1"/>
  <c r="C44" i="1"/>
  <c r="C45" i="1"/>
  <c r="C46" i="1"/>
  <c r="C47" i="1"/>
  <c r="C29" i="1"/>
  <c r="AL126" i="1" l="1"/>
  <c r="AN128" i="1"/>
  <c r="AM95" i="1"/>
  <c r="AM135" i="1"/>
  <c r="AP106" i="1"/>
  <c r="AP119" i="1"/>
  <c r="AP103" i="1"/>
  <c r="AL98" i="1"/>
  <c r="AP92" i="1"/>
  <c r="AN114" i="1"/>
  <c r="AL107" i="1"/>
  <c r="AL92" i="1"/>
  <c r="AP91" i="1"/>
  <c r="AL97" i="1"/>
  <c r="AN130" i="1"/>
  <c r="AN126" i="1"/>
  <c r="AN124" i="1"/>
  <c r="AP102" i="1"/>
  <c r="AP139" i="1"/>
  <c r="AM136" i="1"/>
  <c r="AP93" i="1"/>
  <c r="AN139" i="1"/>
  <c r="AN89" i="1"/>
  <c r="AP108" i="1"/>
  <c r="AM89" i="1"/>
  <c r="AN104" i="1"/>
  <c r="AP137" i="1"/>
  <c r="AN135" i="1"/>
  <c r="AP134" i="1"/>
  <c r="AL99" i="1"/>
  <c r="AO102" i="1"/>
  <c r="AO119" i="1"/>
  <c r="I123" i="1" s="1"/>
  <c r="AO91" i="1"/>
  <c r="AO139" i="1"/>
  <c r="AP113" i="1"/>
  <c r="AP87" i="1"/>
  <c r="C124" i="1" s="1"/>
  <c r="AM124" i="1"/>
  <c r="AN107" i="1"/>
  <c r="AN142" i="1"/>
  <c r="Q122" i="1" s="1"/>
  <c r="AL119" i="1"/>
  <c r="AO93" i="1"/>
  <c r="AO92" i="1"/>
  <c r="AO113" i="1"/>
  <c r="AP138" i="1"/>
  <c r="AM104" i="1"/>
  <c r="AL132" i="1"/>
  <c r="AN118" i="1"/>
  <c r="I122" i="1" s="1"/>
  <c r="AM107" i="1"/>
  <c r="AP132" i="1"/>
  <c r="AL93" i="1"/>
  <c r="AN93" i="1"/>
  <c r="AN92" i="1"/>
  <c r="AN113" i="1"/>
  <c r="AO138" i="1"/>
  <c r="AL95" i="1"/>
  <c r="AL106" i="1"/>
  <c r="AP109" i="1"/>
  <c r="AP97" i="1"/>
  <c r="AN105" i="1"/>
  <c r="AP130" i="1"/>
  <c r="AP128" i="1"/>
  <c r="AP114" i="1"/>
  <c r="AP126" i="1"/>
  <c r="AN138" i="1"/>
  <c r="AM122" i="1"/>
  <c r="AL123" i="1"/>
  <c r="AN136" i="1"/>
  <c r="AP96" i="1"/>
  <c r="AM105" i="1"/>
  <c r="AO130" i="1"/>
  <c r="AO128" i="1"/>
  <c r="AO114" i="1"/>
  <c r="AO126" i="1"/>
  <c r="AP110" i="1"/>
  <c r="AO110" i="1"/>
  <c r="AN110" i="1"/>
  <c r="AO86" i="1"/>
  <c r="B123" i="1" s="1"/>
  <c r="AN131" i="1"/>
  <c r="AN103" i="1"/>
  <c r="AN88" i="1"/>
  <c r="AO87" i="1"/>
  <c r="C123" i="1" s="1"/>
  <c r="AL134" i="1"/>
  <c r="AL108" i="1"/>
  <c r="AO137" i="1"/>
  <c r="AO121" i="1"/>
  <c r="AO109" i="1"/>
  <c r="AO108" i="1"/>
  <c r="AO123" i="1"/>
  <c r="AO97" i="1"/>
  <c r="AO96" i="1"/>
  <c r="AO134" i="1"/>
  <c r="AO106" i="1"/>
  <c r="AO132" i="1"/>
  <c r="AL138" i="1"/>
  <c r="AL113" i="1"/>
  <c r="AL100" i="1"/>
  <c r="AL101" i="1"/>
  <c r="AM130" i="1"/>
  <c r="AM102" i="1"/>
  <c r="AM129" i="1"/>
  <c r="AM128" i="1"/>
  <c r="AM119" i="1"/>
  <c r="AM115" i="1"/>
  <c r="AM114" i="1"/>
  <c r="AM91" i="1"/>
  <c r="AM139" i="1"/>
  <c r="AM110" i="1"/>
  <c r="AL121" i="1"/>
  <c r="AN133" i="1"/>
  <c r="AP129" i="1"/>
  <c r="AP131" i="1"/>
  <c r="AP88" i="1"/>
  <c r="AM90" i="1"/>
  <c r="AN102" i="1"/>
  <c r="AN115" i="1"/>
  <c r="AL88" i="1"/>
  <c r="AM131" i="1"/>
  <c r="AM103" i="1"/>
  <c r="AM88" i="1"/>
  <c r="D121" i="1" s="1"/>
  <c r="AN87" i="1"/>
  <c r="C122" i="1" s="1"/>
  <c r="AL89" i="1"/>
  <c r="AL136" i="1"/>
  <c r="AN137" i="1"/>
  <c r="AN121" i="1"/>
  <c r="AN109" i="1"/>
  <c r="AN108" i="1"/>
  <c r="AN123" i="1"/>
  <c r="AN97" i="1"/>
  <c r="AN96" i="1"/>
  <c r="AN134" i="1"/>
  <c r="AN106" i="1"/>
  <c r="AN132" i="1"/>
  <c r="AL125" i="1"/>
  <c r="AL143" i="1"/>
  <c r="M120" i="1" s="1"/>
  <c r="AL116" i="1"/>
  <c r="AL94" i="1"/>
  <c r="AP117" i="1"/>
  <c r="AP94" i="1"/>
  <c r="AP101" i="1"/>
  <c r="AP141" i="1"/>
  <c r="AP120" i="1"/>
  <c r="J124" i="1" s="1"/>
  <c r="AP116" i="1"/>
  <c r="AP100" i="1"/>
  <c r="AP127" i="1"/>
  <c r="AP99" i="1"/>
  <c r="AP143" i="1"/>
  <c r="M124" i="1" s="1"/>
  <c r="AP140" i="1"/>
  <c r="AP112" i="1"/>
  <c r="AP111" i="1"/>
  <c r="AP125" i="1"/>
  <c r="AP98" i="1"/>
  <c r="AN90" i="1"/>
  <c r="AP115" i="1"/>
  <c r="AM118" i="1"/>
  <c r="AM133" i="1"/>
  <c r="AO115" i="1"/>
  <c r="AL129" i="1"/>
  <c r="AL131" i="1"/>
  <c r="AP122" i="1"/>
  <c r="AP95" i="1"/>
  <c r="AL104" i="1"/>
  <c r="AL96" i="1"/>
  <c r="AL109" i="1"/>
  <c r="AM137" i="1"/>
  <c r="AM121" i="1"/>
  <c r="AM123" i="1"/>
  <c r="AL91" i="1"/>
  <c r="AL141" i="1"/>
  <c r="AO117" i="1"/>
  <c r="AO94" i="1"/>
  <c r="AO101" i="1"/>
  <c r="AO141" i="1"/>
  <c r="AO120" i="1"/>
  <c r="J123" i="1" s="1"/>
  <c r="AO116" i="1"/>
  <c r="AO100" i="1"/>
  <c r="AO127" i="1"/>
  <c r="AO99" i="1"/>
  <c r="AO143" i="1"/>
  <c r="M123" i="1" s="1"/>
  <c r="AO140" i="1"/>
  <c r="AO112" i="1"/>
  <c r="AO111" i="1"/>
  <c r="AO125" i="1"/>
  <c r="AO98" i="1"/>
  <c r="AL133" i="1"/>
  <c r="AN129" i="1"/>
  <c r="AL122" i="1"/>
  <c r="AO122" i="1"/>
  <c r="AO95" i="1"/>
  <c r="AP104" i="1"/>
  <c r="AL105" i="1"/>
  <c r="AL90" i="1"/>
  <c r="AP124" i="1"/>
  <c r="AP118" i="1"/>
  <c r="AP136" i="1"/>
  <c r="AP135" i="1"/>
  <c r="AP107" i="1"/>
  <c r="AP90" i="1"/>
  <c r="AP89" i="1"/>
  <c r="AP133" i="1"/>
  <c r="AP142" i="1"/>
  <c r="Q124" i="1" s="1"/>
  <c r="AP105" i="1"/>
  <c r="AL111" i="1"/>
  <c r="AL127" i="1"/>
  <c r="AL117" i="1"/>
  <c r="AN117" i="1"/>
  <c r="AN94" i="1"/>
  <c r="AN101" i="1"/>
  <c r="AN141" i="1"/>
  <c r="AN120" i="1"/>
  <c r="J122" i="1" s="1"/>
  <c r="AN116" i="1"/>
  <c r="AN100" i="1"/>
  <c r="AN127" i="1"/>
  <c r="AN99" i="1"/>
  <c r="AN143" i="1"/>
  <c r="M122" i="1" s="1"/>
  <c r="AN140" i="1"/>
  <c r="AN112" i="1"/>
  <c r="AN111" i="1"/>
  <c r="AN125" i="1"/>
  <c r="AN98" i="1"/>
  <c r="AL112" i="1"/>
  <c r="AL118" i="1"/>
  <c r="AM142" i="1"/>
  <c r="Q121" i="1" s="1"/>
  <c r="AL140" i="1"/>
  <c r="AO103" i="1"/>
  <c r="AL142" i="1"/>
  <c r="Q120" i="1" s="1"/>
  <c r="AL135" i="1"/>
  <c r="AL124" i="1"/>
  <c r="AL120" i="1"/>
  <c r="J120" i="1" s="1"/>
  <c r="AP86" i="1"/>
  <c r="B124" i="1" s="1"/>
  <c r="AL86" i="1"/>
  <c r="B120" i="1" s="1"/>
  <c r="AN86" i="1"/>
  <c r="B122" i="1" s="1"/>
  <c r="AL87" i="1"/>
  <c r="C120" i="1" s="1"/>
  <c r="I120" i="1" l="1"/>
  <c r="H121" i="1"/>
  <c r="N122" i="1"/>
  <c r="N121" i="1"/>
  <c r="N123" i="1"/>
  <c r="G123" i="1"/>
  <c r="D120" i="1"/>
  <c r="G121" i="1"/>
  <c r="C144" i="1" s="1"/>
  <c r="J144" i="1" s="1"/>
  <c r="C179" i="1" s="1"/>
  <c r="N120" i="1"/>
  <c r="H120" i="1"/>
  <c r="G122" i="1"/>
  <c r="D123" i="1"/>
  <c r="L123" i="1"/>
  <c r="L120" i="1"/>
  <c r="I121" i="1"/>
  <c r="B149" i="1"/>
  <c r="I149" i="1" s="1"/>
  <c r="B184" i="1" s="1"/>
  <c r="I124" i="1"/>
  <c r="L121" i="1"/>
  <c r="H123" i="1"/>
  <c r="G124" i="1"/>
  <c r="D124" i="1"/>
  <c r="D122" i="1"/>
  <c r="L124" i="1"/>
  <c r="L122" i="1"/>
  <c r="N124" i="1"/>
  <c r="H122" i="1"/>
  <c r="G120" i="1"/>
  <c r="H124" i="1"/>
  <c r="D148" i="1" l="1"/>
  <c r="K148" i="1" s="1"/>
  <c r="D183" i="1" s="1"/>
  <c r="E134" i="1"/>
  <c r="L134" i="1" s="1"/>
  <c r="E169" i="1" s="1"/>
  <c r="B137" i="1"/>
  <c r="I137" i="1" s="1"/>
  <c r="B172" i="1" s="1"/>
  <c r="F151" i="1"/>
  <c r="M151" i="1" s="1"/>
  <c r="F186" i="1" s="1"/>
  <c r="C148" i="1"/>
  <c r="J148" i="1" s="1"/>
  <c r="C183" i="1" s="1"/>
  <c r="B156" i="1"/>
  <c r="I156" i="1" s="1"/>
  <c r="B191" i="1" s="1"/>
  <c r="C132" i="1"/>
  <c r="J132" i="1" s="1"/>
  <c r="C167" i="1" s="1"/>
  <c r="F129" i="1"/>
  <c r="M129" i="1" s="1"/>
  <c r="F164" i="1" s="1"/>
  <c r="C157" i="1"/>
  <c r="J157" i="1" s="1"/>
  <c r="C192" i="1" s="1"/>
  <c r="C140" i="1"/>
  <c r="J140" i="1" s="1"/>
  <c r="C175" i="1" s="1"/>
  <c r="D151" i="1"/>
  <c r="K151" i="1" s="1"/>
  <c r="D186" i="1" s="1"/>
  <c r="C141" i="1"/>
  <c r="J141" i="1" s="1"/>
  <c r="C176" i="1" s="1"/>
  <c r="C131" i="1"/>
  <c r="J131" i="1" s="1"/>
  <c r="C166" i="1" s="1"/>
  <c r="F137" i="1"/>
  <c r="M137" i="1" s="1"/>
  <c r="F172" i="1" s="1"/>
  <c r="D145" i="1"/>
  <c r="K145" i="1" s="1"/>
  <c r="D180" i="1" s="1"/>
  <c r="B129" i="1"/>
  <c r="I129" i="1" s="1"/>
  <c r="B164" i="1" s="1"/>
  <c r="F132" i="1"/>
  <c r="M132" i="1" s="1"/>
  <c r="F167" i="1" s="1"/>
  <c r="C152" i="1"/>
  <c r="J152" i="1" s="1"/>
  <c r="C187" i="1" s="1"/>
  <c r="D149" i="1"/>
  <c r="K149" i="1" s="1"/>
  <c r="D184" i="1" s="1"/>
  <c r="C138" i="1"/>
  <c r="J138" i="1" s="1"/>
  <c r="C173" i="1" s="1"/>
  <c r="C151" i="1"/>
  <c r="J151" i="1" s="1"/>
  <c r="C186" i="1" s="1"/>
  <c r="C156" i="1"/>
  <c r="J156" i="1" s="1"/>
  <c r="C191" i="1" s="1"/>
  <c r="F138" i="1"/>
  <c r="M138" i="1" s="1"/>
  <c r="F173" i="1" s="1"/>
  <c r="C136" i="1"/>
  <c r="J136" i="1" s="1"/>
  <c r="C171" i="1" s="1"/>
  <c r="B148" i="1"/>
  <c r="I148" i="1" s="1"/>
  <c r="B183" i="1" s="1"/>
  <c r="C155" i="1"/>
  <c r="J155" i="1" s="1"/>
  <c r="C190" i="1" s="1"/>
  <c r="B153" i="1"/>
  <c r="I153" i="1" s="1"/>
  <c r="B188" i="1" s="1"/>
  <c r="C135" i="1"/>
  <c r="J135" i="1" s="1"/>
  <c r="C170" i="1" s="1"/>
  <c r="B158" i="1"/>
  <c r="I158" i="1" s="1"/>
  <c r="B193" i="1" s="1"/>
  <c r="C134" i="1"/>
  <c r="J134" i="1" s="1"/>
  <c r="C169" i="1" s="1"/>
  <c r="B134" i="1"/>
  <c r="I134" i="1" s="1"/>
  <c r="B169" i="1" s="1"/>
  <c r="C128" i="1"/>
  <c r="J128" i="1" s="1"/>
  <c r="C163" i="1" s="1"/>
  <c r="C139" i="1"/>
  <c r="J139" i="1" s="1"/>
  <c r="C174" i="1" s="1"/>
  <c r="C137" i="1"/>
  <c r="J137" i="1" s="1"/>
  <c r="C172" i="1" s="1"/>
  <c r="B147" i="1"/>
  <c r="I147" i="1" s="1"/>
  <c r="B182" i="1" s="1"/>
  <c r="E137" i="1"/>
  <c r="L137" i="1" s="1"/>
  <c r="E172" i="1" s="1"/>
  <c r="E148" i="1"/>
  <c r="L148" i="1" s="1"/>
  <c r="E183" i="1" s="1"/>
  <c r="C150" i="1"/>
  <c r="J150" i="1" s="1"/>
  <c r="C185" i="1" s="1"/>
  <c r="F147" i="1"/>
  <c r="M147" i="1" s="1"/>
  <c r="F182" i="1" s="1"/>
  <c r="C146" i="1"/>
  <c r="J146" i="1" s="1"/>
  <c r="C181" i="1" s="1"/>
  <c r="D154" i="1"/>
  <c r="K154" i="1" s="1"/>
  <c r="D189" i="1" s="1"/>
  <c r="D139" i="1"/>
  <c r="K139" i="1" s="1"/>
  <c r="D174" i="1" s="1"/>
  <c r="D155" i="1"/>
  <c r="K155" i="1" s="1"/>
  <c r="D190" i="1" s="1"/>
  <c r="D138" i="1"/>
  <c r="K138" i="1" s="1"/>
  <c r="D173" i="1" s="1"/>
  <c r="F143" i="1"/>
  <c r="M143" i="1" s="1"/>
  <c r="F178" i="1" s="1"/>
  <c r="D133" i="1"/>
  <c r="K133" i="1" s="1"/>
  <c r="D168" i="1" s="1"/>
  <c r="D132" i="1"/>
  <c r="K132" i="1" s="1"/>
  <c r="D167" i="1" s="1"/>
  <c r="F158" i="1"/>
  <c r="M158" i="1" s="1"/>
  <c r="F193" i="1" s="1"/>
  <c r="B136" i="1"/>
  <c r="I136" i="1" s="1"/>
  <c r="B171" i="1" s="1"/>
  <c r="D129" i="1"/>
  <c r="K129" i="1" s="1"/>
  <c r="D164" i="1" s="1"/>
  <c r="D144" i="1"/>
  <c r="K144" i="1" s="1"/>
  <c r="D179" i="1" s="1"/>
  <c r="B135" i="1"/>
  <c r="I135" i="1" s="1"/>
  <c r="B170" i="1" s="1"/>
  <c r="E156" i="1"/>
  <c r="L156" i="1" s="1"/>
  <c r="E191" i="1" s="1"/>
  <c r="B133" i="1"/>
  <c r="I133" i="1" s="1"/>
  <c r="B168" i="1" s="1"/>
  <c r="F152" i="1"/>
  <c r="M152" i="1" s="1"/>
  <c r="F187" i="1" s="1"/>
  <c r="B150" i="1"/>
  <c r="I150" i="1" s="1"/>
  <c r="B185" i="1" s="1"/>
  <c r="E153" i="1"/>
  <c r="L153" i="1" s="1"/>
  <c r="E188" i="1" s="1"/>
  <c r="F142" i="1"/>
  <c r="M142" i="1" s="1"/>
  <c r="F177" i="1" s="1"/>
  <c r="E145" i="1"/>
  <c r="L145" i="1" s="1"/>
  <c r="E180" i="1" s="1"/>
  <c r="E128" i="1"/>
  <c r="L128" i="1" s="1"/>
  <c r="E163" i="1" s="1"/>
  <c r="E140" i="1"/>
  <c r="L140" i="1" s="1"/>
  <c r="E175" i="1" s="1"/>
  <c r="B146" i="1"/>
  <c r="I146" i="1" s="1"/>
  <c r="B181" i="1" s="1"/>
  <c r="F136" i="1"/>
  <c r="M136" i="1" s="1"/>
  <c r="F171" i="1" s="1"/>
  <c r="B128" i="1"/>
  <c r="I128" i="1" s="1"/>
  <c r="B163" i="1" s="1"/>
  <c r="F144" i="1"/>
  <c r="M144" i="1" s="1"/>
  <c r="F179" i="1" s="1"/>
  <c r="E150" i="1"/>
  <c r="L150" i="1" s="1"/>
  <c r="E185" i="1" s="1"/>
  <c r="D130" i="1"/>
  <c r="K130" i="1" s="1"/>
  <c r="D165" i="1" s="1"/>
  <c r="B131" i="1"/>
  <c r="I131" i="1" s="1"/>
  <c r="B166" i="1" s="1"/>
  <c r="D143" i="1"/>
  <c r="K143" i="1" s="1"/>
  <c r="D178" i="1" s="1"/>
  <c r="D158" i="1"/>
  <c r="K158" i="1" s="1"/>
  <c r="D193" i="1" s="1"/>
  <c r="C130" i="1"/>
  <c r="J130" i="1" s="1"/>
  <c r="C165" i="1" s="1"/>
  <c r="E154" i="1"/>
  <c r="L154" i="1" s="1"/>
  <c r="E189" i="1" s="1"/>
  <c r="B138" i="1"/>
  <c r="I138" i="1" s="1"/>
  <c r="B173" i="1" s="1"/>
  <c r="C154" i="1"/>
  <c r="J154" i="1" s="1"/>
  <c r="C189" i="1" s="1"/>
  <c r="D152" i="1"/>
  <c r="K152" i="1" s="1"/>
  <c r="D187" i="1" s="1"/>
  <c r="D134" i="1"/>
  <c r="K134" i="1" s="1"/>
  <c r="D169" i="1" s="1"/>
  <c r="F141" i="1"/>
  <c r="M141" i="1" s="1"/>
  <c r="F176" i="1" s="1"/>
  <c r="E129" i="1"/>
  <c r="L129" i="1" s="1"/>
  <c r="E164" i="1" s="1"/>
  <c r="D136" i="1"/>
  <c r="K136" i="1" s="1"/>
  <c r="D171" i="1" s="1"/>
  <c r="F130" i="1"/>
  <c r="M130" i="1" s="1"/>
  <c r="F165" i="1" s="1"/>
  <c r="F155" i="1"/>
  <c r="M155" i="1" s="1"/>
  <c r="F190" i="1" s="1"/>
  <c r="F133" i="1"/>
  <c r="M133" i="1" s="1"/>
  <c r="F168" i="1" s="1"/>
  <c r="E131" i="1"/>
  <c r="L131" i="1" s="1"/>
  <c r="E166" i="1" s="1"/>
  <c r="B144" i="1"/>
  <c r="I144" i="1" s="1"/>
  <c r="B179" i="1" s="1"/>
  <c r="E147" i="1"/>
  <c r="L147" i="1" s="1"/>
  <c r="E182" i="1" s="1"/>
  <c r="E144" i="1"/>
  <c r="L144" i="1" s="1"/>
  <c r="E179" i="1" s="1"/>
  <c r="F156" i="1"/>
  <c r="M156" i="1" s="1"/>
  <c r="F191" i="1" s="1"/>
  <c r="B139" i="1"/>
  <c r="I139" i="1" s="1"/>
  <c r="B174" i="1" s="1"/>
  <c r="D128" i="1"/>
  <c r="K128" i="1" s="1"/>
  <c r="D163" i="1" s="1"/>
  <c r="D142" i="1"/>
  <c r="K142" i="1" s="1"/>
  <c r="D177" i="1" s="1"/>
  <c r="D157" i="1"/>
  <c r="K157" i="1" s="1"/>
  <c r="D192" i="1" s="1"/>
  <c r="E138" i="1"/>
  <c r="L138" i="1" s="1"/>
  <c r="E173" i="1" s="1"/>
  <c r="E133" i="1"/>
  <c r="L133" i="1" s="1"/>
  <c r="E168" i="1" s="1"/>
  <c r="C143" i="1"/>
  <c r="J143" i="1" s="1"/>
  <c r="C178" i="1" s="1"/>
  <c r="E132" i="1"/>
  <c r="L132" i="1" s="1"/>
  <c r="E167" i="1" s="1"/>
  <c r="D150" i="1"/>
  <c r="K150" i="1" s="1"/>
  <c r="D185" i="1" s="1"/>
  <c r="F157" i="1"/>
  <c r="M157" i="1" s="1"/>
  <c r="F192" i="1" s="1"/>
  <c r="F135" i="1"/>
  <c r="M135" i="1" s="1"/>
  <c r="F170" i="1" s="1"/>
  <c r="B132" i="1"/>
  <c r="I132" i="1" s="1"/>
  <c r="B167" i="1" s="1"/>
  <c r="E143" i="1"/>
  <c r="L143" i="1" s="1"/>
  <c r="E178" i="1" s="1"/>
  <c r="F139" i="1"/>
  <c r="M139" i="1" s="1"/>
  <c r="F174" i="1" s="1"/>
  <c r="C129" i="1"/>
  <c r="J129" i="1" s="1"/>
  <c r="C164" i="1" s="1"/>
  <c r="E141" i="1"/>
  <c r="L141" i="1" s="1"/>
  <c r="E176" i="1" s="1"/>
  <c r="B157" i="1"/>
  <c r="I157" i="1" s="1"/>
  <c r="B192" i="1" s="1"/>
  <c r="D147" i="1"/>
  <c r="K147" i="1" s="1"/>
  <c r="D182" i="1" s="1"/>
  <c r="E139" i="1"/>
  <c r="L139" i="1" s="1"/>
  <c r="E174" i="1" s="1"/>
  <c r="F140" i="1"/>
  <c r="M140" i="1" s="1"/>
  <c r="F175" i="1" s="1"/>
  <c r="B143" i="1"/>
  <c r="I143" i="1" s="1"/>
  <c r="B178" i="1" s="1"/>
  <c r="C149" i="1"/>
  <c r="J149" i="1" s="1"/>
  <c r="C184" i="1" s="1"/>
  <c r="C158" i="1"/>
  <c r="J158" i="1" s="1"/>
  <c r="C193" i="1" s="1"/>
  <c r="D141" i="1"/>
  <c r="K141" i="1" s="1"/>
  <c r="D176" i="1" s="1"/>
  <c r="D156" i="1"/>
  <c r="K156" i="1" s="1"/>
  <c r="D191" i="1" s="1"/>
  <c r="C145" i="1"/>
  <c r="J145" i="1" s="1"/>
  <c r="C180" i="1" s="1"/>
  <c r="E152" i="1"/>
  <c r="L152" i="1" s="1"/>
  <c r="E187" i="1" s="1"/>
  <c r="D137" i="1"/>
  <c r="K137" i="1" s="1"/>
  <c r="D172" i="1" s="1"/>
  <c r="F146" i="1"/>
  <c r="M146" i="1" s="1"/>
  <c r="F181" i="1" s="1"/>
  <c r="B152" i="1"/>
  <c r="I152" i="1" s="1"/>
  <c r="B187" i="1" s="1"/>
  <c r="F131" i="1"/>
  <c r="M131" i="1" s="1"/>
  <c r="F166" i="1" s="1"/>
  <c r="B142" i="1"/>
  <c r="I142" i="1" s="1"/>
  <c r="B177" i="1" s="1"/>
  <c r="E146" i="1"/>
  <c r="L146" i="1" s="1"/>
  <c r="E181" i="1" s="1"/>
  <c r="B140" i="1"/>
  <c r="I140" i="1" s="1"/>
  <c r="B175" i="1" s="1"/>
  <c r="D131" i="1"/>
  <c r="K131" i="1" s="1"/>
  <c r="D166" i="1" s="1"/>
  <c r="D146" i="1"/>
  <c r="K146" i="1" s="1"/>
  <c r="D181" i="1" s="1"/>
  <c r="B155" i="1"/>
  <c r="I155" i="1" s="1"/>
  <c r="B190" i="1" s="1"/>
  <c r="E158" i="1"/>
  <c r="L158" i="1" s="1"/>
  <c r="E193" i="1" s="1"/>
  <c r="B141" i="1"/>
  <c r="I141" i="1" s="1"/>
  <c r="B176" i="1" s="1"/>
  <c r="C133" i="1"/>
  <c r="J133" i="1" s="1"/>
  <c r="C168" i="1" s="1"/>
  <c r="C142" i="1"/>
  <c r="J142" i="1" s="1"/>
  <c r="C177" i="1" s="1"/>
  <c r="E149" i="1"/>
  <c r="L149" i="1" s="1"/>
  <c r="E184" i="1" s="1"/>
  <c r="D140" i="1"/>
  <c r="K140" i="1" s="1"/>
  <c r="D175" i="1" s="1"/>
  <c r="B145" i="1"/>
  <c r="I145" i="1" s="1"/>
  <c r="B180" i="1" s="1"/>
  <c r="E136" i="1"/>
  <c r="L136" i="1" s="1"/>
  <c r="E171" i="1" s="1"/>
  <c r="D135" i="1"/>
  <c r="K135" i="1" s="1"/>
  <c r="D170" i="1" s="1"/>
  <c r="F134" i="1"/>
  <c r="M134" i="1" s="1"/>
  <c r="F169" i="1" s="1"/>
  <c r="F150" i="1"/>
  <c r="M150" i="1" s="1"/>
  <c r="F185" i="1" s="1"/>
  <c r="F149" i="1"/>
  <c r="M149" i="1" s="1"/>
  <c r="F184" i="1" s="1"/>
  <c r="F128" i="1"/>
  <c r="M128" i="1" s="1"/>
  <c r="F163" i="1" s="1"/>
  <c r="F148" i="1"/>
  <c r="M148" i="1" s="1"/>
  <c r="F183" i="1" s="1"/>
  <c r="B130" i="1"/>
  <c r="I130" i="1" s="1"/>
  <c r="B165" i="1" s="1"/>
  <c r="E151" i="1"/>
  <c r="L151" i="1" s="1"/>
  <c r="E186" i="1" s="1"/>
  <c r="B151" i="1"/>
  <c r="I151" i="1" s="1"/>
  <c r="B186" i="1" s="1"/>
  <c r="F145" i="1"/>
  <c r="M145" i="1" s="1"/>
  <c r="F180" i="1" s="1"/>
  <c r="F153" i="1"/>
  <c r="M153" i="1" s="1"/>
  <c r="F188" i="1" s="1"/>
  <c r="E155" i="1"/>
  <c r="L155" i="1" s="1"/>
  <c r="E190" i="1" s="1"/>
  <c r="E130" i="1"/>
  <c r="L130" i="1" s="1"/>
  <c r="E165" i="1" s="1"/>
  <c r="C153" i="1"/>
  <c r="J153" i="1" s="1"/>
  <c r="C188" i="1" s="1"/>
  <c r="E157" i="1"/>
  <c r="L157" i="1" s="1"/>
  <c r="E192" i="1" s="1"/>
  <c r="E135" i="1"/>
  <c r="L135" i="1" s="1"/>
  <c r="E170" i="1" s="1"/>
  <c r="E142" i="1"/>
  <c r="L142" i="1" s="1"/>
  <c r="E177" i="1" s="1"/>
  <c r="B154" i="1"/>
  <c r="I154" i="1" s="1"/>
  <c r="B189" i="1" s="1"/>
  <c r="F154" i="1"/>
  <c r="M154" i="1" s="1"/>
  <c r="F189" i="1" s="1"/>
  <c r="C147" i="1"/>
  <c r="J147" i="1" s="1"/>
  <c r="C182" i="1" s="1"/>
  <c r="D153" i="1"/>
  <c r="K153" i="1" s="1"/>
  <c r="D188" i="1" s="1"/>
</calcChain>
</file>

<file path=xl/sharedStrings.xml><?xml version="1.0" encoding="utf-8"?>
<sst xmlns="http://schemas.openxmlformats.org/spreadsheetml/2006/main" count="4010" uniqueCount="1371">
  <si>
    <t>Copper</t>
  </si>
  <si>
    <t>Glöser-Chahoud_2017</t>
  </si>
  <si>
    <t>Quantitative Analyse der Kritikalität mineralischer und metallischer Rohstoffe unter Verwendung eines systemdynamischen Modell-Ansatzes</t>
  </si>
  <si>
    <t>https://dokumente.ub.tu-clausthal.de/receive/clausthal_mods_00000524</t>
  </si>
  <si>
    <t>In page 157, they talk about the NdFeB in the automobile industry.</t>
  </si>
  <si>
    <t>GREEN = REFERENCE USED IN DLR AND INCLUDED IN OUR DATABASE</t>
  </si>
  <si>
    <t>BLUE = NEW REFERENCE</t>
  </si>
  <si>
    <t>Roskill, 2011. Roskill Information Services Ltd.: Rare Earths &amp; Yttrium: Market Outlook to 2015: A quick introductory guide to rare earths. Bericht. Roskill Information Services Ltd.. London, England</t>
  </si>
  <si>
    <t>RED = REFERENCE USED IN DLR, DISCARDED</t>
  </si>
  <si>
    <t>Kohlmeyer, R., Groke, M., Sander, K., Bergamos, M., 2015a. Perspektiven der zunehmenden Fahrzeugelektronik für das Altfahrzeugrecycling, in: Thomé-Kozmiensky, K.J., Goldmann, D. (Herausgeber), Recycling und Rohstoffe, Band 8. TK, Neuruppin. Ausgabe 8, Seiten 183–205. ||||||||||||||| Kohlmeyer, R., Groke, M., Sander, K., Bergamos, M., 2015b. Rückgewinnung kritischer Metalle: Die Demontage von Elektro- und Elektronikkomponenten aus Altfahrzeugen für die stoffliche Verwertung kann einen wichtigen Beitrag zur Ressourceneffizienz leisten. ReSource , 27–37</t>
  </si>
  <si>
    <t>Widmer, R., Du, X., Haag, O., Restrepo, E., Wäger, P.A., 2015. Scarce metals in conventional passenger vehicles and end-of-life vehicle shredder output. Environmental Science &amp; Technology 49, 4591–4599.</t>
  </si>
  <si>
    <t>Alonso, E., Wallington, T., Sherman, A., Everson, M., Field, F., Roth, R., Kirchain, R., 2012b. An assessment of the rare earth element content of conventional and electric vehicles. Bericht. SAE Technical Paper</t>
  </si>
  <si>
    <t>Cullbrand, K., Olof, M., 2011. The Use of Potentially Critical Materials in Passenger Cars. Bericht. Chalmers University of Technology, Department of Energy and Environment, Division of Environmental Systems Analysis. Göteborg, Schweden</t>
  </si>
  <si>
    <t>The Use of Potentially Critical Materials in Passenger Cars</t>
  </si>
  <si>
    <t>https://publications.lib.chalmers.se/records/fulltext/162842.pdf</t>
  </si>
  <si>
    <t>Cullbrand_2011</t>
  </si>
  <si>
    <t>Material</t>
  </si>
  <si>
    <t>Cerium</t>
  </si>
  <si>
    <t>Dysprosium</t>
  </si>
  <si>
    <t>Erbium</t>
  </si>
  <si>
    <t>Europium</t>
  </si>
  <si>
    <t>Gadolinium</t>
  </si>
  <si>
    <t>Gallium</t>
  </si>
  <si>
    <t>Indium</t>
  </si>
  <si>
    <t>Lanthanum</t>
  </si>
  <si>
    <t>Lithium</t>
  </si>
  <si>
    <t>Neodymium</t>
  </si>
  <si>
    <t>Niobium</t>
  </si>
  <si>
    <t>Palladium</t>
  </si>
  <si>
    <t>Platinum</t>
  </si>
  <si>
    <t>Praseodymium</t>
  </si>
  <si>
    <t>Rhodium</t>
  </si>
  <si>
    <t>Samarium</t>
  </si>
  <si>
    <t>Tantalum</t>
  </si>
  <si>
    <t>Terbium</t>
  </si>
  <si>
    <t>Ytterbium</t>
  </si>
  <si>
    <t>Yttrium</t>
  </si>
  <si>
    <t>CML</t>
  </si>
  <si>
    <t>Weight[kg]</t>
  </si>
  <si>
    <t>1500-1700</t>
  </si>
  <si>
    <t>CMH</t>
  </si>
  <si>
    <t>1500-1800</t>
  </si>
  <si>
    <t>CLM</t>
  </si>
  <si>
    <t>1800-2200</t>
  </si>
  <si>
    <t>HMM</t>
  </si>
  <si>
    <t>1900-2100</t>
  </si>
  <si>
    <t>CML [g]</t>
  </si>
  <si>
    <t xml:space="preserve">Conventional Midsize, Low-Specified </t>
  </si>
  <si>
    <t>Conventional Midsize, High-Specified</t>
  </si>
  <si>
    <t>CML [kg metal/kg vehicle]</t>
  </si>
  <si>
    <t>CMH [g]</t>
  </si>
  <si>
    <t>CMH [kg metal/kg vehicle]</t>
  </si>
  <si>
    <t>HMM [g]</t>
  </si>
  <si>
    <t>HMM [kg metal/kg vehicle]</t>
  </si>
  <si>
    <t>Hybrid Midsize, Medium-Specified</t>
  </si>
  <si>
    <t>Conventional Large, Medium-Specified</t>
  </si>
  <si>
    <t>Numbers taken from Table 6,7,8,9</t>
  </si>
  <si>
    <t>Alonso_2012</t>
  </si>
  <si>
    <t>An assessment of the rare earth element content of conventional and electric vehicles</t>
  </si>
  <si>
    <t>CLM [g]</t>
  </si>
  <si>
    <t>CLM [kg metal/kg vehicle]</t>
  </si>
  <si>
    <t>This publication is a Master Thesis in colaboration with VOLVO</t>
  </si>
  <si>
    <t>I have marked in blue what is used in the magnets</t>
  </si>
  <si>
    <t>https://www.jstor.org/stable/pdf/26268481.pdf?refreqid=excelsior%3Ab7df8b30df16f78642f06f7ac4de04fb&amp;ab_segments=&amp;origin=&amp;initiator=&amp;acceptTC=1</t>
  </si>
  <si>
    <t>Numbers are taken from Figure 3 and 4</t>
  </si>
  <si>
    <t>They consider two alternatives for a Sedan 2012 - ICE &amp; Hybrid with Lithium battery</t>
  </si>
  <si>
    <t>It is a midsize car. We have to assume its total weight (equal to Cullbrand 2017)</t>
  </si>
  <si>
    <t>Scandium</t>
  </si>
  <si>
    <t>ICE [%]</t>
  </si>
  <si>
    <t>ICE [kg metal/kg car]</t>
  </si>
  <si>
    <t>Hybrid [%]</t>
  </si>
  <si>
    <t>Hybrid[kg metal/kg car]</t>
  </si>
  <si>
    <t>Total weight[kg]</t>
  </si>
  <si>
    <t>Widmet_2015</t>
  </si>
  <si>
    <t>Scarce metals in conventional passenger vehicles and end-of-life vehicle shredder output</t>
  </si>
  <si>
    <t>https://pubs.acs.org/doi/pdf/10.1021/es505415d</t>
  </si>
  <si>
    <t>Element</t>
  </si>
  <si>
    <t>ABS sensors (metal EE part)</t>
  </si>
  <si>
    <t>Brushes (Electric)</t>
  </si>
  <si>
    <t>Electrolytic Capacitors</t>
  </si>
  <si>
    <t>SMD Capacitors</t>
  </si>
  <si>
    <t>Commutators</t>
  </si>
  <si>
    <t>Connectors (only metal EE part)</t>
  </si>
  <si>
    <t>LCD Displays (Foil)</t>
  </si>
  <si>
    <t>LCD Displays (Glass)</t>
  </si>
  <si>
    <t>LEDs</t>
  </si>
  <si>
    <t>Magnets</t>
  </si>
  <si>
    <t>Sensor element in lambda probe</t>
  </si>
  <si>
    <t>PCB populated</t>
  </si>
  <si>
    <t>PCB without components</t>
  </si>
  <si>
    <t>Resistors</t>
  </si>
  <si>
    <t>Ag</t>
  </si>
  <si>
    <t>Au</t>
  </si>
  <si>
    <t>Be</t>
  </si>
  <si>
    <t>Ce</t>
  </si>
  <si>
    <t>Co</t>
  </si>
  <si>
    <t>Dy</t>
  </si>
  <si>
    <t>Ga</t>
  </si>
  <si>
    <t>Gd</t>
  </si>
  <si>
    <t>Ge</t>
  </si>
  <si>
    <t>In</t>
  </si>
  <si>
    <t>La</t>
  </si>
  <si>
    <t>Li</t>
  </si>
  <si>
    <t>Mo</t>
  </si>
  <si>
    <t>Nb</t>
  </si>
  <si>
    <t>Nd</t>
  </si>
  <si>
    <t>Pd</t>
  </si>
  <si>
    <t>Pr</t>
  </si>
  <si>
    <t>Pt</t>
  </si>
  <si>
    <t>Rb</t>
  </si>
  <si>
    <t>Re</t>
  </si>
  <si>
    <t>Ru</t>
  </si>
  <si>
    <t>Sb</t>
  </si>
  <si>
    <t>Sm</t>
  </si>
  <si>
    <t>Sn</t>
  </si>
  <si>
    <t>Sr</t>
  </si>
  <si>
    <t>Ta</t>
  </si>
  <si>
    <t>Tb</t>
  </si>
  <si>
    <t>Te</t>
  </si>
  <si>
    <t>W</t>
  </si>
  <si>
    <t>Y</t>
  </si>
  <si>
    <t>Zr</t>
  </si>
  <si>
    <t>ABS sensors (plastic EE part)</t>
  </si>
  <si>
    <t>Resistors from Air mass meter</t>
  </si>
  <si>
    <t>Numbers are taken from SI 2, SI 4 and SI 5</t>
  </si>
  <si>
    <t>Devices</t>
  </si>
  <si>
    <t>ABS pump</t>
  </si>
  <si>
    <t>Power windows</t>
  </si>
  <si>
    <t>GPS navigation system</t>
  </si>
  <si>
    <t>Radio/CD</t>
  </si>
  <si>
    <t>Instruments (User interface)</t>
  </si>
  <si>
    <t>Airbag / crash sensor</t>
  </si>
  <si>
    <t>Airbag controller</t>
  </si>
  <si>
    <t>Oxygen sensor</t>
  </si>
  <si>
    <t>ABS sensor</t>
  </si>
  <si>
    <t>Fuel pump</t>
  </si>
  <si>
    <t>Alternator</t>
  </si>
  <si>
    <t>Starter motor</t>
  </si>
  <si>
    <t>Wiper motor (wind screen)</t>
  </si>
  <si>
    <t>Radiator fan motor</t>
  </si>
  <si>
    <t>Multi-function control stalk</t>
  </si>
  <si>
    <t>Fuse box</t>
  </si>
  <si>
    <t>Air mass meter</t>
  </si>
  <si>
    <t>Motor controller</t>
  </si>
  <si>
    <t>High-end car</t>
  </si>
  <si>
    <t>Low-end car</t>
  </si>
  <si>
    <t>Mid-range car</t>
  </si>
  <si>
    <t>Coupe high-end</t>
  </si>
  <si>
    <t>Coupe low-end</t>
  </si>
  <si>
    <t>Semiconductors</t>
  </si>
  <si>
    <t>Printed Wiring Boards (populated)</t>
  </si>
  <si>
    <t>Circuit Boards</t>
  </si>
  <si>
    <t>Electromotors (EM)</t>
  </si>
  <si>
    <t>Steering &amp; Brakes</t>
  </si>
  <si>
    <t>Connectors (metal EE part)</t>
  </si>
  <si>
    <t>Contacts/Connectors</t>
  </si>
  <si>
    <t>Electromotors</t>
  </si>
  <si>
    <t>Brushes (electric)</t>
  </si>
  <si>
    <t>Sensors (SE)</t>
  </si>
  <si>
    <t>Electrical</t>
  </si>
  <si>
    <t>Resistors from air mass meter</t>
  </si>
  <si>
    <t>Air mass sensor</t>
  </si>
  <si>
    <t>Interior</t>
  </si>
  <si>
    <t>Controllers (SG)</t>
  </si>
  <si>
    <t>Fuel &amp; Exhaust</t>
  </si>
  <si>
    <t>Contacts (KO)</t>
  </si>
  <si>
    <t>Consumer Electronics (UE)</t>
  </si>
  <si>
    <t>Info &amp; Controls</t>
  </si>
  <si>
    <t>LCD Displays</t>
  </si>
  <si>
    <t>LDC Displays (Glass)</t>
  </si>
  <si>
    <t>Instruments (User Interface)</t>
  </si>
  <si>
    <t>User Interface (UI)</t>
  </si>
  <si>
    <t>Lambda sensor</t>
  </si>
  <si>
    <t>Closures</t>
  </si>
  <si>
    <t>Radio / CD</t>
  </si>
  <si>
    <t>Electromotors/CD reader</t>
  </si>
  <si>
    <t>Sample nr</t>
  </si>
  <si>
    <t>EE components containing analyzed scarce metals</t>
  </si>
  <si>
    <t>EE parts containing the EE components</t>
  </si>
  <si>
    <t>Average mass of EE component in EE part (in grams)</t>
  </si>
  <si>
    <t>EE devices containing the EE parts</t>
  </si>
  <si>
    <t>Number of EE parts per EE device</t>
  </si>
  <si>
    <t>Our classification of EE devices</t>
  </si>
  <si>
    <t>Subsystem (classification Alonso 2012)</t>
  </si>
  <si>
    <t>Wiper motor</t>
  </si>
  <si>
    <t>Mi</t>
  </si>
  <si>
    <t>Mi High-end car</t>
  </si>
  <si>
    <t>Mi Low-end car</t>
  </si>
  <si>
    <t>Mi Mid-range car</t>
  </si>
  <si>
    <t>Mi Coupe high-end</t>
  </si>
  <si>
    <t>Mi Coupe low-end</t>
  </si>
  <si>
    <t>mg</t>
  </si>
  <si>
    <t>mg metal/kg component</t>
  </si>
  <si>
    <t>kg metal/kg car</t>
  </si>
  <si>
    <t>kg of componet</t>
  </si>
  <si>
    <t>This table corresponds to Table 2 - We can check our calculations are ok</t>
  </si>
  <si>
    <t>kg metal</t>
  </si>
  <si>
    <t>They only look at combustion engines (conventional cars)</t>
  </si>
  <si>
    <t xml:space="preserve">Conventional coupe, Low-Specified </t>
  </si>
  <si>
    <t>Conventional coupe, High-Specified</t>
  </si>
  <si>
    <t>Manberger_2018</t>
  </si>
  <si>
    <t>Global metal flows in the renewable energy transition: Exploring the effects of substitutes, technological mix and development</t>
  </si>
  <si>
    <t>https://www.sciencedirect.com/science/article/pii/S0301421518302726</t>
  </si>
  <si>
    <t>Motor PM (kg metal/kW)</t>
  </si>
  <si>
    <t>Motor induction (kg/kW)</t>
  </si>
  <si>
    <t>Seaman_2010</t>
  </si>
  <si>
    <t>Rare Earths and Clean Energy: Analyzing China's Upper Hand</t>
  </si>
  <si>
    <t>https://inis.iaea.org/collection/NCLCollectionStore/_Public/42/052/42052647.pdf</t>
  </si>
  <si>
    <t>I am discarding it for being more than 10 years old. In addition, it is a report (not peer reviewed) with a focus on general criticality and not on material intensities</t>
  </si>
  <si>
    <t>Harvey_2018</t>
  </si>
  <si>
    <t>Resource implications of alternative strategies for achieveing zero greenhouse gas emissions from light-duty vehicles by 2060</t>
  </si>
  <si>
    <t>https://www.sciencedirect.com/science/article/pii/S0306261917316732</t>
  </si>
  <si>
    <t>Data retrieved from Table 3</t>
  </si>
  <si>
    <t>Motor PM - NOW (kg metal/kW)</t>
  </si>
  <si>
    <t>Motor induction - NOW (kg/kW)</t>
  </si>
  <si>
    <t>Motor PM - FUTURE (kg metal/kW)</t>
  </si>
  <si>
    <t>Motor induction - FUTURE (kg/kW)</t>
  </si>
  <si>
    <t>Global Potential of Rare Earth Resources and Rare Earth Demand from Clean Technologies</t>
  </si>
  <si>
    <t>Zhou_2017</t>
  </si>
  <si>
    <t>https://www.mdpi.com/2075-163X/7/11/203</t>
  </si>
  <si>
    <t>USDOE_2010</t>
  </si>
  <si>
    <t>Critical materials strategy</t>
  </si>
  <si>
    <t>Data retrieved from Appendix B</t>
  </si>
  <si>
    <t>https://www.energy.gov/sites/prod/files/piprod/documents/cms_dec_17_full_web.pdf</t>
  </si>
  <si>
    <t>kg metal/vehicle</t>
  </si>
  <si>
    <t>kg metal/kg vehicle</t>
  </si>
  <si>
    <t>Electric motor weight</t>
  </si>
  <si>
    <t>kg</t>
  </si>
  <si>
    <t>kg metal/kg motor</t>
  </si>
  <si>
    <t>Elwert_2016</t>
  </si>
  <si>
    <t>Current Developments and Challenges in the Recycling of Key Components of (Hybrid) Electric Vehicles</t>
  </si>
  <si>
    <t>https://www.mdpi.com/2313-4321/1/1/25</t>
  </si>
  <si>
    <t>Data retrieved from Table 4 and Table 6</t>
  </si>
  <si>
    <t>PM-Motor (EV), 80kW</t>
  </si>
  <si>
    <t>PM-Motor (HEV), 20kW</t>
  </si>
  <si>
    <t>Steel</t>
  </si>
  <si>
    <t>Aluminium</t>
  </si>
  <si>
    <t>Cast Iron</t>
  </si>
  <si>
    <t>Polymers</t>
  </si>
  <si>
    <t>Elastomers</t>
  </si>
  <si>
    <t>Liquids</t>
  </si>
  <si>
    <t>Total</t>
  </si>
  <si>
    <t>kg metal/kg motor (EV)</t>
  </si>
  <si>
    <t>kg metal/kg motor (HEV)</t>
  </si>
  <si>
    <t>Iron</t>
  </si>
  <si>
    <t>Boron</t>
  </si>
  <si>
    <t>Cobalt</t>
  </si>
  <si>
    <t>Mass percentage</t>
  </si>
  <si>
    <t>80kW</t>
  </si>
  <si>
    <t>20kW</t>
  </si>
  <si>
    <t>Hernandez_2017</t>
  </si>
  <si>
    <t>Environmental impact of traction electric motors for electric vehicles applications</t>
  </si>
  <si>
    <t>45kW rare-earth PM synchronous motor</t>
  </si>
  <si>
    <t>https://link.springer.com/article/10.1007/s11367-015-0973-9</t>
  </si>
  <si>
    <t xml:space="preserve">Data retrieved from Table 1 and TablesS1 and S2 and Table </t>
  </si>
  <si>
    <t>kg metal/motor</t>
  </si>
  <si>
    <t>Electrical steel</t>
  </si>
  <si>
    <t>Other steel</t>
  </si>
  <si>
    <t>Insulation materials</t>
  </si>
  <si>
    <t>Impregnation resin</t>
  </si>
  <si>
    <t>Paint</t>
  </si>
  <si>
    <t>Plastics</t>
  </si>
  <si>
    <t>Pig iron</t>
  </si>
  <si>
    <t>Neodymium oxide</t>
  </si>
  <si>
    <t>Boric oxide</t>
  </si>
  <si>
    <t>Nickel</t>
  </si>
  <si>
    <t>Nordelöf_2018</t>
  </si>
  <si>
    <t>A scalable life cycle inventory of an electrical automotive traction machine - Part 1: design and composition</t>
  </si>
  <si>
    <t>https://link.springer.com/article/10.1007/s11367-017-1308-9#S</t>
  </si>
  <si>
    <t>They provide the full LCI as SI</t>
  </si>
  <si>
    <t>Summary</t>
  </si>
  <si>
    <t>Specified maximum power (kW)</t>
  </si>
  <si>
    <t>Calculated maximum torque (Nm)</t>
  </si>
  <si>
    <t>Housing body
(Included/Not included)</t>
  </si>
  <si>
    <t>Endbells
(Both/One/Without)</t>
  </si>
  <si>
    <t>Shaft
(Included/Not included)</t>
  </si>
  <si>
    <t>Bearings
(Both/One/Without)</t>
  </si>
  <si>
    <t>Mass (kg)</t>
  </si>
  <si>
    <t>Included</t>
  </si>
  <si>
    <t>Endbells on both sides</t>
  </si>
  <si>
    <t>Bearings on both sides</t>
  </si>
  <si>
    <t>GATE TO GATE LIFE CYCLE INVENTORY</t>
  </si>
  <si>
    <t>Direction</t>
  </si>
  <si>
    <t>Dispatching / receiving system</t>
  </si>
  <si>
    <t xml:space="preserve">Flow description
</t>
  </si>
  <si>
    <t xml:space="preserve">Flow name
</t>
  </si>
  <si>
    <t>Property and quantity</t>
  </si>
  <si>
    <t xml:space="preserve">Linked flow /
Representation in Ecoinvent 3 </t>
  </si>
  <si>
    <t>Name</t>
  </si>
  <si>
    <t>Unit</t>
  </si>
  <si>
    <t>Scaled amount</t>
  </si>
  <si>
    <t>Inflow</t>
  </si>
  <si>
    <t>Technosphere</t>
  </si>
  <si>
    <t>Product material input</t>
  </si>
  <si>
    <t>Aluminum</t>
  </si>
  <si>
    <t>Mass</t>
  </si>
  <si>
    <t>Aluminium, cast alloy</t>
  </si>
  <si>
    <t>Boron carbide</t>
  </si>
  <si>
    <t>g</t>
  </si>
  <si>
    <t>Dysprosium oxide</t>
  </si>
  <si>
    <t>Optional</t>
  </si>
  <si>
    <t>Ferrosilicon</t>
  </si>
  <si>
    <t>Liquid enamel, polyester share</t>
  </si>
  <si>
    <t>Polyester resin, unsaturated</t>
  </si>
  <si>
    <t>Liquid enamel, xylene solvent share</t>
  </si>
  <si>
    <t>Xylene</t>
  </si>
  <si>
    <t>Liquid epoxy resin</t>
  </si>
  <si>
    <t xml:space="preserve">Mass </t>
  </si>
  <si>
    <t xml:space="preserve">Epoxy resin, liquid </t>
  </si>
  <si>
    <t>Liquid varnish, solid share</t>
  </si>
  <si>
    <t>Alkyd resin, long oil, without solvent</t>
  </si>
  <si>
    <t>Liquid varnish, solvent share</t>
  </si>
  <si>
    <t>Naphtha</t>
  </si>
  <si>
    <t>Low-alloy  carbon steel</t>
  </si>
  <si>
    <t>Steel, low-alloyed</t>
  </si>
  <si>
    <t>Magnet fixation resin, methacrylate ester</t>
  </si>
  <si>
    <t>Methyl methacrylate</t>
  </si>
  <si>
    <t>Mica tape, glass fiber cloth content</t>
  </si>
  <si>
    <t>Glass fibre</t>
  </si>
  <si>
    <t>Mica tape, mica content</t>
  </si>
  <si>
    <t xml:space="preserve">Silica sand </t>
  </si>
  <si>
    <t>Mica tape, silicone bond content</t>
  </si>
  <si>
    <t>Silicone product</t>
  </si>
  <si>
    <t>Nickel, 99.5%</t>
  </si>
  <si>
    <t xml:space="preserve">Nylon lacing cord </t>
  </si>
  <si>
    <t>Nylon 6</t>
  </si>
  <si>
    <t>PBT granulates</t>
  </si>
  <si>
    <t>PET, granulate, bottle grade</t>
  </si>
  <si>
    <t>PET granulates</t>
  </si>
  <si>
    <t>Phenolic resin</t>
  </si>
  <si>
    <t>Silica filler in epoxy resin</t>
  </si>
  <si>
    <t>Silica sand</t>
  </si>
  <si>
    <t>Silicone granulates</t>
  </si>
  <si>
    <t>Stainless steel, 18/8 grade</t>
  </si>
  <si>
    <t>Steel, chromium steel 18/8</t>
  </si>
  <si>
    <t>Unalloyed steel</t>
  </si>
  <si>
    <t>Steel, unalloyed</t>
  </si>
  <si>
    <t>Low-alloy carbon steel</t>
  </si>
  <si>
    <t>Steel (total)</t>
  </si>
  <si>
    <t>19</t>
  </si>
  <si>
    <t>58</t>
  </si>
  <si>
    <t>119</t>
  </si>
  <si>
    <t>13</t>
  </si>
  <si>
    <t>39</t>
  </si>
  <si>
    <t>Implications of Emerging Vehicle Technologies on Rare Earth Supply and Demand in the United States</t>
  </si>
  <si>
    <t>https://www.mdpi.com/2079-9276/7/1/9</t>
  </si>
  <si>
    <t>Table S1 and S2</t>
  </si>
  <si>
    <t>Table S3 is not suitable for us as they average values we are already using in this database</t>
  </si>
  <si>
    <t>Al</t>
  </si>
  <si>
    <t>Cr</t>
  </si>
  <si>
    <t>Mn</t>
  </si>
  <si>
    <t>Fe</t>
  </si>
  <si>
    <t>Ni</t>
  </si>
  <si>
    <t>Cu</t>
  </si>
  <si>
    <t>Zn</t>
  </si>
  <si>
    <t>Er</t>
  </si>
  <si>
    <t>Pb</t>
  </si>
  <si>
    <t>Mg</t>
  </si>
  <si>
    <t>Electric motor + generator</t>
  </si>
  <si>
    <t>Fuel cell</t>
  </si>
  <si>
    <t>Internal combustion engine + powertrain</t>
  </si>
  <si>
    <t>Glider</t>
  </si>
  <si>
    <t>Li-ion battery (HEV,FCV)</t>
  </si>
  <si>
    <t>Li-ion battery (PHEV)</t>
  </si>
  <si>
    <t>Li-ion battery (BEV)</t>
  </si>
  <si>
    <t>Li-poly battery (HEV, FCV)</t>
  </si>
  <si>
    <t>NiMH battery (HEV, FCV)</t>
  </si>
  <si>
    <t>ICEV</t>
  </si>
  <si>
    <t>HEV NiMH</t>
  </si>
  <si>
    <t>HEV Li-ion</t>
  </si>
  <si>
    <t>HEV Li-polymer</t>
  </si>
  <si>
    <t>PHEV Li-ion</t>
  </si>
  <si>
    <t>BEV Li-ion</t>
  </si>
  <si>
    <t>FCV NiMH</t>
  </si>
  <si>
    <t>FCV Li-ion</t>
  </si>
  <si>
    <t>FCV Li-polymer</t>
  </si>
  <si>
    <t>Sum</t>
  </si>
  <si>
    <t>Masses of materials in components</t>
  </si>
  <si>
    <t>Masses of materials in vehicles</t>
  </si>
  <si>
    <t>Electric motor</t>
  </si>
  <si>
    <t>Internal combustion engine + power train</t>
  </si>
  <si>
    <t>kg metal / kg motor</t>
  </si>
  <si>
    <t>Ressourceneffizienz und ressourcenpolitische Aspekte des Systems Elektromobilität - Arbeitspaket 7 des Forschungsvorhaben OPTUM</t>
  </si>
  <si>
    <t>https://www.oeko.de/publikationen/p-details/ressourceneffizienz-und-ressourcenpolitische-aspekte-des-systems-elektromobilitaet-arbeitspaket-7-d</t>
  </si>
  <si>
    <t>Data retrieved from Tables 6,7,8,9,10</t>
  </si>
  <si>
    <t>E-motor small</t>
  </si>
  <si>
    <t>E-motor big</t>
  </si>
  <si>
    <t>FCEV</t>
  </si>
  <si>
    <t>ICE</t>
  </si>
  <si>
    <t>kg metal/ motor</t>
  </si>
  <si>
    <t>YEAR: 2010</t>
  </si>
  <si>
    <t>YEAR: 2020</t>
  </si>
  <si>
    <t>YEAR: 2030</t>
  </si>
  <si>
    <t>Total weight (motor)</t>
  </si>
  <si>
    <t>kg metal/ kg motor</t>
  </si>
  <si>
    <t>ICE (kg metal/ kg car)</t>
  </si>
  <si>
    <t>Habib_2014</t>
  </si>
  <si>
    <t>Exploring rare earth supply constraints for the emerging clean energy technologies and the role of recyling</t>
  </si>
  <si>
    <t>https://www.sciencedirect.com/science/article/abs/pii/S0959652614003837</t>
  </si>
  <si>
    <t>Hoenderdaal_2013</t>
  </si>
  <si>
    <t>Can a dysprosium shortage threaten green energy technologies?</t>
  </si>
  <si>
    <t>https://www.sciencedirect.com/science/article/abs/pii/S0360544212008055</t>
  </si>
  <si>
    <t>Recycling as a Strategy against Rare Earth Element Criticality: A Systematic Evaluation of the potential Yield of NdFeB Magnet Recycling</t>
  </si>
  <si>
    <t>Rademaker_2013</t>
  </si>
  <si>
    <t>Material bottlenecks in the future development of green technologies</t>
  </si>
  <si>
    <t>Valero_2018a</t>
  </si>
  <si>
    <t>Valero_2018b</t>
  </si>
  <si>
    <t>Global material requirements for the energy transition. An exergy flow analysis of decarbonization pathways</t>
  </si>
  <si>
    <t>The potential risks from metals bottlenecks to the deployment of Strategic Energy Technologies</t>
  </si>
  <si>
    <t>Moss_2013a</t>
  </si>
  <si>
    <t>Moss_2013b</t>
  </si>
  <si>
    <t>Critical Metals in the Path towards the Decarbonisation of the EU Energy Sector</t>
  </si>
  <si>
    <t>https://pubs.acs.org/doi/10.1021/es305007w</t>
  </si>
  <si>
    <t>https://www.sciencedirect.com/science/article/abs/pii/S1364032118303861</t>
  </si>
  <si>
    <t>https://www.sciencedirect.com/science/article/abs/pii/S0360544218312143</t>
  </si>
  <si>
    <t>https://www.sciencedirect.com/science/article/abs/pii/S0301421512011068</t>
  </si>
  <si>
    <t>https://op.europa.eu/en/publication-detail/-/publication/505c089c-7655-4546-bd17-83f91d581190/language-en</t>
  </si>
  <si>
    <t>They use the numbers from USDoE_2010</t>
  </si>
  <si>
    <t>Data retrieved from Table S8</t>
  </si>
  <si>
    <t>kg of motor in EV</t>
  </si>
  <si>
    <t>kg of motor in HEV</t>
  </si>
  <si>
    <t>Assumed HEV power</t>
  </si>
  <si>
    <t>kW</t>
  </si>
  <si>
    <t>kg metal/EV vehicle</t>
  </si>
  <si>
    <t>kg metal/kg EV motor</t>
  </si>
  <si>
    <t>kg metal/HEV vehicle</t>
  </si>
  <si>
    <t>kg metal/kg EV magnet</t>
  </si>
  <si>
    <t>kg/kW</t>
  </si>
  <si>
    <t>kg magnet/vehicle</t>
  </si>
  <si>
    <t>HEV and EV</t>
  </si>
  <si>
    <t>Median values</t>
  </si>
  <si>
    <t>Data retrieved from Table 4 - This table is based in interviews to companies</t>
  </si>
  <si>
    <t>Nd (%w)</t>
  </si>
  <si>
    <t>kg Nd/vehicle</t>
  </si>
  <si>
    <t>kg Dy/vehicle</t>
  </si>
  <si>
    <t>kg Nd/kg motor</t>
  </si>
  <si>
    <t>kg Dy/kg motor</t>
  </si>
  <si>
    <t>Dy(%w)</t>
  </si>
  <si>
    <t>Two-wheel electric vehicles</t>
  </si>
  <si>
    <t>Two-wheel electric motor</t>
  </si>
  <si>
    <t>They use the intensities from the previous paper</t>
  </si>
  <si>
    <t>Regarding critical raw materials, they use the values from Alonso, Cullbrand and Grandell. As we already used the two first ones, we discard this paper and add Grandell to the list</t>
  </si>
  <si>
    <t>Grandell_2016</t>
  </si>
  <si>
    <t>Role of critical metals in the future markets of clean energy technologies</t>
  </si>
  <si>
    <t>https://www.sciencedirect.com/science/article/abs/pii/S0960148116302816?via%3Dihub</t>
  </si>
  <si>
    <t>Data retrieved from Table 4</t>
  </si>
  <si>
    <t>&lt;50kW</t>
  </si>
  <si>
    <t>&gt;50kW</t>
  </si>
  <si>
    <t>They do not provide vehicle-specific values</t>
  </si>
  <si>
    <t>BEV</t>
  </si>
  <si>
    <t>HEV</t>
  </si>
  <si>
    <t>kg/vehicle</t>
  </si>
  <si>
    <t>Mild hybrid</t>
  </si>
  <si>
    <t>FCV</t>
  </si>
  <si>
    <t>B</t>
  </si>
  <si>
    <t>Data retrieved from Table 53 and Table 54  - They do not differentiate between motor and battery</t>
  </si>
  <si>
    <t>Ti</t>
  </si>
  <si>
    <t>Graphite</t>
  </si>
  <si>
    <t>PHEV-50</t>
  </si>
  <si>
    <t>kg metal/kW motor power</t>
  </si>
  <si>
    <t>THEY TAKE THEIR VALUES FROM MIT,2008 - REALLY OLD DATA</t>
  </si>
  <si>
    <t>http://web.mit.edu/sloan-auto-lab/research/beforeh2/otr2035/On%20the%20Road%20in%202035_MIT_July%202008.pdf</t>
  </si>
  <si>
    <t>MIT_2008</t>
  </si>
  <si>
    <t>On the Road in 2035: Reducing Transportation’s Petroleum Consumption and GHG Emissions</t>
  </si>
  <si>
    <t>Hybrid[kg metal/kg motor]</t>
  </si>
  <si>
    <t>Motor PM (kg metal/kg motor)</t>
  </si>
  <si>
    <t>Motor induction (kg/kg motor)</t>
  </si>
  <si>
    <t>The PM motor reference is the one from Burrel et al.</t>
  </si>
  <si>
    <t>https://info.ornl.gov/sites/publications/files/Pub26762.pdf</t>
  </si>
  <si>
    <t>The other one comes from Dorrel et al.</t>
  </si>
  <si>
    <t>https://descargas.indielec.com/web/ecce_2010_hybridvehicles.pdf</t>
  </si>
  <si>
    <t>50kW</t>
  </si>
  <si>
    <t>ÖkoInstitut_2011</t>
  </si>
  <si>
    <t>It is not clear, for our goal, how they get their values. But we will use their references -&gt; US DoE 2010 (It was already present in DLR database)</t>
  </si>
  <si>
    <t>Fishman_2018</t>
  </si>
  <si>
    <t>HMM [kg metal/kg motor]</t>
  </si>
  <si>
    <t>They take their data from Restrepo_2017 ::: This is the reference which we will be using</t>
  </si>
  <si>
    <t>Restrepo_2017</t>
  </si>
  <si>
    <t>Stocks, Flows, and Distribution of Critical Metals in Embedded
Electronics in Passenger Vehicles</t>
  </si>
  <si>
    <t>https://pubs.acs.org/doi/10.1021/acs.est.6b05743</t>
  </si>
  <si>
    <t>A)</t>
  </si>
  <si>
    <t>Speakers (only woofer)</t>
  </si>
  <si>
    <t>-</t>
  </si>
  <si>
    <t>Throttle actuator</t>
  </si>
  <si>
    <t>Hydraulic modulator</t>
  </si>
  <si>
    <t>Power windows motors</t>
  </si>
  <si>
    <t>Electronic power steering motor</t>
  </si>
  <si>
    <t>Windscreen wiper motor</t>
  </si>
  <si>
    <t>Windscreen wiper fluid pump</t>
  </si>
  <si>
    <t>Drive motor/Generator HEV</t>
  </si>
  <si>
    <t>Drive motor/Generator EV</t>
  </si>
  <si>
    <t>NiMH Battery HEV</t>
  </si>
  <si>
    <t>ABS/ESP/EBD/VDC/HHC/DSR/TCS/CBC contro.</t>
  </si>
  <si>
    <t>Sound system controller (incl. Radio/CD)</t>
  </si>
  <si>
    <t>Navigation System controller (incl. DVD)</t>
  </si>
  <si>
    <t>Central locking/Keyless access controller</t>
  </si>
  <si>
    <t>Power windows controller</t>
  </si>
  <si>
    <t>Power mirrors controller</t>
  </si>
  <si>
    <t>Light assistance system controller</t>
  </si>
  <si>
    <t>Electronic power steering controller</t>
  </si>
  <si>
    <t>Parking assistance controller</t>
  </si>
  <si>
    <t>Automatic H/AC controller</t>
  </si>
  <si>
    <t>Adaptive cruise control (ACC) controller</t>
  </si>
  <si>
    <t>Engine/Motor controller</t>
  </si>
  <si>
    <t>Daytime running lamps controller</t>
  </si>
  <si>
    <t>Dashboard</t>
  </si>
  <si>
    <t>Electrical system controller</t>
  </si>
  <si>
    <t>Total mass per average vehicle (in g)</t>
  </si>
  <si>
    <t>Selected electric and electronic devices</t>
  </si>
  <si>
    <t>Average new vehicle (cohort 2014)</t>
  </si>
  <si>
    <t>Distribution of critical metal mass in EE devices in an average passenger vehicle - in percentage (%)</t>
  </si>
  <si>
    <t>Permanent magnets</t>
  </si>
  <si>
    <t>Actuators</t>
  </si>
  <si>
    <t>Controllers</t>
  </si>
  <si>
    <t>Printed circuit boards</t>
  </si>
  <si>
    <t>EV</t>
  </si>
  <si>
    <t>Data retrieved from Table S24</t>
  </si>
  <si>
    <t>Average values</t>
  </si>
  <si>
    <t>kg metal/kg HEV motor</t>
  </si>
  <si>
    <t>Raw materials demand for wind and solar PV technologies in the transition towards a decarbonised energy system</t>
  </si>
  <si>
    <t>Carrara_2020</t>
  </si>
  <si>
    <t>https://op.europa.eu/en/publication-detail/-/publication/19aae047-7f88-11ea-aea8-01aa75ed71a1/language-en</t>
  </si>
  <si>
    <t>Vestas_2017</t>
  </si>
  <si>
    <t>Life Cycle Assessment of Electricity Production from an onshore V136-3.45 MW Wind Plant</t>
  </si>
  <si>
    <t>https://www.vestas.com/content/dam/vestas-com/global/en/sustainability/reports-and-ratings/lcas/V1363%2045MW_Mk3a_ISO_LCA_Final_31072017.pdf.coredownload.inline.pdf</t>
  </si>
  <si>
    <t>Vestas_2018</t>
  </si>
  <si>
    <t>Life Cycle Assessment of Electricity Production from an onshore V116-2.0 MW Wind Plant</t>
  </si>
  <si>
    <t>https://www.vestas.com/content/dam/vestas-com/global/en/sustainability/reports-and-ratings/lcas/0075-0998_V01%20-%20LCA%20of%20Electricity%20Production%20from%20an%20onshore%20V116-2.0%20MW%20Wind%20Plant_120718_v1.1.pdf.coredownload.inline.pdf</t>
  </si>
  <si>
    <t>Viebahn_2015</t>
  </si>
  <si>
    <t>Assessing the need for critical minerals to shift the German energy system towards a high proportion of renewables</t>
  </si>
  <si>
    <t>https://www.sciencedirect.com/science/article/pii/S1364032115003408</t>
  </si>
  <si>
    <t>Polymer materials</t>
  </si>
  <si>
    <t>Data retrieved from Table 6</t>
  </si>
  <si>
    <t>tonne/power plant</t>
  </si>
  <si>
    <t>kg of metal/MW</t>
  </si>
  <si>
    <t>Data retrieved from Table 6 - They derive them from Janssen LGJ, Lacal Arantegui R, Brondsted P, Gimondo P, Klimpel A, Johansen BB, et al. Scientific Assessment in support of the Materials Roadmap enabling Low Carbon Energy Technologies Wind Energy 2012</t>
  </si>
  <si>
    <t>Generator type</t>
  </si>
  <si>
    <t>kg metal/MW</t>
  </si>
  <si>
    <t>Direct drive (DD)</t>
  </si>
  <si>
    <t>Middle spped (MS)</t>
  </si>
  <si>
    <t>High speed (HS)</t>
  </si>
  <si>
    <t xml:space="preserve">High temperature </t>
  </si>
  <si>
    <t>WuppertalInstitut_2014</t>
  </si>
  <si>
    <t>Kritische mineralische Ressourcen und Stoffströme bei der Transformation des deutschen Energieversorgungssystems</t>
  </si>
  <si>
    <t>https://epub.wupperinst.org/frontdoor/index/index/docId/5419</t>
  </si>
  <si>
    <t>They use the same values as in Viebahn_2015 (same authors)</t>
  </si>
  <si>
    <r>
      <rPr>
        <b/>
        <sz val="11"/>
        <color theme="1"/>
        <rFont val="Calibri"/>
        <family val="2"/>
        <scheme val="minor"/>
      </rPr>
      <t>AG</t>
    </r>
    <r>
      <rPr>
        <sz val="11"/>
        <color theme="1"/>
        <rFont val="Calibri"/>
        <family val="2"/>
        <scheme val="minor"/>
      </rPr>
      <t xml:space="preserve"> turbine - 100MW power plant</t>
    </r>
  </si>
  <si>
    <r>
      <rPr>
        <b/>
        <sz val="11"/>
        <color theme="1"/>
        <rFont val="Calibri"/>
        <family val="2"/>
        <scheme val="minor"/>
      </rPr>
      <t>AG</t>
    </r>
    <r>
      <rPr>
        <sz val="11"/>
        <color theme="1"/>
        <rFont val="Calibri"/>
        <family val="2"/>
        <scheme val="minor"/>
      </rPr>
      <t xml:space="preserve"> turbine - 50MW power plant</t>
    </r>
  </si>
  <si>
    <r>
      <t xml:space="preserve">Wind </t>
    </r>
    <r>
      <rPr>
        <b/>
        <sz val="11"/>
        <color theme="1"/>
        <rFont val="Calibri"/>
        <family val="2"/>
        <scheme val="minor"/>
      </rPr>
      <t>AG</t>
    </r>
    <r>
      <rPr>
        <sz val="11"/>
        <color theme="1"/>
        <rFont val="Calibri"/>
        <family val="2"/>
        <scheme val="minor"/>
      </rPr>
      <t xml:space="preserve"> (kg/MW)</t>
    </r>
  </si>
  <si>
    <r>
      <rPr>
        <b/>
        <sz val="11"/>
        <color theme="1"/>
        <rFont val="Calibri"/>
        <family val="2"/>
        <scheme val="minor"/>
      </rPr>
      <t>DD PM</t>
    </r>
    <r>
      <rPr>
        <sz val="11"/>
        <color theme="1"/>
        <rFont val="Calibri"/>
        <family val="2"/>
        <scheme val="minor"/>
      </rPr>
      <t xml:space="preserve"> (kg/MW)</t>
    </r>
  </si>
  <si>
    <t>Buchert_2011</t>
  </si>
  <si>
    <t>Rare Earths - a Bottleneck for future Wind Turbine Technologies?</t>
  </si>
  <si>
    <t>We discard it as it is a presentation. We will be only including reports and scientific publications</t>
  </si>
  <si>
    <t>Willburn_2011</t>
  </si>
  <si>
    <t>Wind Energy in the United States and Materials Required for the Land-based Wind Trubine Industry from 2010 through 2030</t>
  </si>
  <si>
    <t>https://pubs.usgs.gov/sir/2011/5036/sir2011-5036.pdf</t>
  </si>
  <si>
    <t>Data retrieved from Table 5 - Footnote 3</t>
  </si>
  <si>
    <t>Critical Metals in Strategic Energy Technologies - Assessing Rare Metals as Supply-Chain Bottlenecks in Low-Carbon Energy Technologies</t>
  </si>
  <si>
    <t>Moss_2011</t>
  </si>
  <si>
    <t>https://publications.jrc.ec.europa.eu/repository/handle/JRC65592</t>
  </si>
  <si>
    <t>Data retrieved from Table A15, A16</t>
  </si>
  <si>
    <t>Average</t>
  </si>
  <si>
    <t>DD PM</t>
  </si>
  <si>
    <t>Turbine</t>
  </si>
  <si>
    <t>kg magnet/MW</t>
  </si>
  <si>
    <t>% Nd</t>
  </si>
  <si>
    <t>% Dy</t>
  </si>
  <si>
    <t>% B</t>
  </si>
  <si>
    <t>Exploring rare earth supply constraints for the emerging clean energy technologies and therole of recyling</t>
  </si>
  <si>
    <t>https://www.sciencedirect.com/science/article/pii/S0959652614003837</t>
  </si>
  <si>
    <t>Data retrieved from page 4</t>
  </si>
  <si>
    <t>DD - PM</t>
  </si>
  <si>
    <t>Imholte_2018</t>
  </si>
  <si>
    <t>An assessment of US rare earth availability for supporting US wind energy growing targets</t>
  </si>
  <si>
    <t>https://www.sciencedirect.com/science/article/pii/S0301421517307383</t>
  </si>
  <si>
    <t>Data retrieved from Table 2</t>
  </si>
  <si>
    <t>Materials use in electricity generators in wind turbines - state-of-the-art and future specifications</t>
  </si>
  <si>
    <t>Lacal-Arantegui_2015;</t>
  </si>
  <si>
    <t>https://www.sciencedirect.com/science/article/pii/S0959652614009779#appsec1</t>
  </si>
  <si>
    <t>Data retrieved from Page 277 and Page 281</t>
  </si>
  <si>
    <t>Imholte_2018 and Lacal use the same sources. I try not to duplicate data points</t>
  </si>
  <si>
    <t>Responsible Minerals Sourcing for Renewable Energy</t>
  </si>
  <si>
    <t>Dominish_2019</t>
  </si>
  <si>
    <t>https://earthworks.org/wp-content/uploads/2019/04/Responsible-minerals-sourcing-for-renewable-energy-MCEC_UTS_Earthworks-Report.pdf</t>
  </si>
  <si>
    <t>PMG</t>
  </si>
  <si>
    <t>Critical Minerals and Energy-Impacts and Limitations of Moving to Unconvential Resources</t>
  </si>
  <si>
    <t>McLellan_2016</t>
  </si>
  <si>
    <t>https://www.mdpi.com/2079-9276/5/2/19</t>
  </si>
  <si>
    <t>They use the values from Hoendertal and from Moss</t>
  </si>
  <si>
    <t>Lanthanide Resources and Alternatives</t>
  </si>
  <si>
    <t>Kara_2010</t>
  </si>
  <si>
    <t>https://www.oakdenehollins.com/reports/2010/5/1/lanthanide-resources-and-alternatives</t>
  </si>
  <si>
    <t>Data retrieved from page 35</t>
  </si>
  <si>
    <t>They take their values from a report from 2008. We try to avoid data points before 2010</t>
  </si>
  <si>
    <t>Data retrieved from page 130</t>
  </si>
  <si>
    <t>PM</t>
  </si>
  <si>
    <t>Nassar_2016</t>
  </si>
  <si>
    <t>Byproduct metal requirements for U.S. wind and solar photovoltaicelectricity generation up to the year 2040 under various Clean PowerPlan scenarios</t>
  </si>
  <si>
    <t>https://www.sciencedirect.com/science/article/pii/S0306261916311497</t>
  </si>
  <si>
    <t>Data retrieved from Table B1</t>
  </si>
  <si>
    <t>Schulze_2016</t>
  </si>
  <si>
    <t>Estimates of global REE recycling potentials from NdFeB magnet material</t>
  </si>
  <si>
    <t>They take their values from (Buchert, 2011; Lacal-Arántegui et al., 2013; Moss et al., 2013)</t>
  </si>
  <si>
    <t>https://www.sciencedirect.com/science/article/pii/S0921344916301148</t>
  </si>
  <si>
    <t>Materials Availability: Potential constraints to the future low-carbon economy - Working Paper 2: Batteries, Magnets and Materials</t>
  </si>
  <si>
    <t>Speirs_2013</t>
  </si>
  <si>
    <t>https://ukerc.ac.uk/publications/materials-availability-potential-constraints-to-the-future-lowcarbon-economy-working-paper-ii-batteries-magnets-and-materials/</t>
  </si>
  <si>
    <t>Data retrieved from Table 3.1.</t>
  </si>
  <si>
    <t>Their references are already being used</t>
  </si>
  <si>
    <t>Energy modeling approach to the global energy-mineral nexus: Exploring metal requirements and the well-below 2°C target with 100 percent renewable energy</t>
  </si>
  <si>
    <t>Tokimatsu_2018</t>
  </si>
  <si>
    <t>https://www.sciencedirect.com/science/article/pii/S0306261918307578</t>
  </si>
  <si>
    <t>Recyclingpotential strategischer Metalle (ReStra) - Abschussbericht</t>
  </si>
  <si>
    <t>Sander_2017</t>
  </si>
  <si>
    <t>https://www.umweltbundesamt.de/sites/default/files/medien/1410/publikationen/2017-08-21_texte_68-2017_restra_0.pdf</t>
  </si>
  <si>
    <t>Data retrieved from Tabelle 104</t>
  </si>
  <si>
    <t xml:space="preserve">Assessment of potential bottlenecks along the materials supply chain for the future deployment of low-carbon energy and transport technologies in the EU </t>
  </si>
  <si>
    <t>Blagoeva_2016</t>
  </si>
  <si>
    <t>https://op.europa.eu/en/publication-detail/-/publication/0bdbe7fc-b214-11e6-871e-01aa75ed71a1/language-en</t>
  </si>
  <si>
    <t>Data retrieved from page 116</t>
  </si>
  <si>
    <t>MS/HS-PMG</t>
  </si>
  <si>
    <t>The Material Basis of Energy Transitions</t>
  </si>
  <si>
    <t>Bleicher_2020</t>
  </si>
  <si>
    <t>https://www.sciencedirect.com/book/9780128195345/the-material-basis-of-energy-transitions</t>
  </si>
  <si>
    <t>Data retrieved from page 63</t>
  </si>
  <si>
    <t>The Growing Role of Minerals and Metals for a Low Carbon Future</t>
  </si>
  <si>
    <t>WorldBank_2017</t>
  </si>
  <si>
    <t>https://documents.worldbank.org/pt/publication/documents-reports/documentdetail/207371500386458722/the-growing-role-of-minerals-and-metals-for-a-low-carbon-future</t>
  </si>
  <si>
    <t>Data retrieved from Table A.1.</t>
  </si>
  <si>
    <t>Chromium</t>
  </si>
  <si>
    <t>Manganese</t>
  </si>
  <si>
    <t>Molybdenum</t>
  </si>
  <si>
    <t>Zinc</t>
  </si>
  <si>
    <t>High-Medium speed turbines</t>
  </si>
  <si>
    <t>Low speed turbiens</t>
  </si>
  <si>
    <t>Buchholz_2018</t>
  </si>
  <si>
    <t>Demand, Supply, and Price Trends for Mineral Raw Materials Relevant to the Renewable Energy Transition Wind Energy, Solar Photovoltaic Energy, and Energy Storage</t>
  </si>
  <si>
    <t>https://onlinelibrary.wiley.com/doi/full/10.1002/cite.201700098</t>
  </si>
  <si>
    <t>They use the values from WorldBank_2017 and Dorner_2016</t>
  </si>
  <si>
    <t>The impacts of national and international energy scenarios on critical metals use in China up to 2050 and their global implications</t>
  </si>
  <si>
    <t>Elshkaki_2019</t>
  </si>
  <si>
    <t>https://www.sciencedirect.com/science/article/pii/S0360544219310382</t>
  </si>
  <si>
    <t>Concrete</t>
  </si>
  <si>
    <t>Glass/carbon composites</t>
  </si>
  <si>
    <t>DD-EESG</t>
  </si>
  <si>
    <t>DD-PMSG</t>
  </si>
  <si>
    <t>GB-PMSG</t>
  </si>
  <si>
    <t>GB-DFIG</t>
  </si>
  <si>
    <t>Valero_2018</t>
  </si>
  <si>
    <t>They use reference already considered</t>
  </si>
  <si>
    <t>Material Flows Resulting from Large Scale Deployment of Wind Energy in Germany</t>
  </si>
  <si>
    <t>Zimmermann_2013</t>
  </si>
  <si>
    <t>https://www.mdpi.com/2079-9276/2/3/303</t>
  </si>
  <si>
    <t>They use the values from Moss</t>
  </si>
  <si>
    <t>Fizaine_2015</t>
  </si>
  <si>
    <t>Renewable electricity producing technologies and metal depletion: A sensitivity analysis using the EROI</t>
  </si>
  <si>
    <t>Ton per MW</t>
  </si>
  <si>
    <t>Parabolic trough</t>
  </si>
  <si>
    <t>Solar tower plant</t>
  </si>
  <si>
    <t>PV single si</t>
  </si>
  <si>
    <t>PV multi si</t>
  </si>
  <si>
    <t>PV a Si</t>
  </si>
  <si>
    <t>PV CIGS</t>
  </si>
  <si>
    <t>PV CdTe</t>
  </si>
  <si>
    <t xml:space="preserve">Onshore wind power </t>
  </si>
  <si>
    <t>Offshore wind power</t>
  </si>
  <si>
    <t>Nuclear Power (PWR)</t>
  </si>
  <si>
    <t>Hydro</t>
  </si>
  <si>
    <t>Power</t>
  </si>
  <si>
    <t>Cadmium</t>
  </si>
  <si>
    <t>Lead</t>
  </si>
  <si>
    <t>Selenium</t>
  </si>
  <si>
    <t>Silver</t>
  </si>
  <si>
    <t>Tellurium</t>
  </si>
  <si>
    <t>Tin</t>
  </si>
  <si>
    <t>Vanadium</t>
  </si>
  <si>
    <t>https://www.sciencedirect.com/science/article/pii/S0921800914003681?via%3Dihub#ec0005</t>
  </si>
  <si>
    <t>Data retrieved from Appendix A</t>
  </si>
  <si>
    <t>Direct Drive</t>
  </si>
  <si>
    <t>GEAR (HS &amp; MS)</t>
  </si>
  <si>
    <t>Li_2020</t>
  </si>
  <si>
    <t>Critical Rare-Earth Elements Mismatch Global Wind-Power Ambitions</t>
  </si>
  <si>
    <t>https://www.sciencedirect.com/science/article/pii/S2590332220302980?via%3Dihub#appsec2</t>
  </si>
  <si>
    <t>Data retrieved from Table S12</t>
  </si>
  <si>
    <t>Cao_2019</t>
  </si>
  <si>
    <t>Resourcing the Fairytale Country with Wind Power: A Dynamic Material Flow Analysis</t>
  </si>
  <si>
    <t>https://pubs.acs.org/doi/10.1021/acs.est.9b03765</t>
  </si>
  <si>
    <t>Fishamn_2019</t>
  </si>
  <si>
    <t>Impact of the establishment of US offshore wind power on neodymium flows</t>
  </si>
  <si>
    <t>https://www.nature.com/articles/s41893-019-0252-z</t>
  </si>
  <si>
    <t>Their references where already present (Lacal, and Fishman)</t>
  </si>
  <si>
    <t>The references they use are already present (Imholte, Zimmermann, Wilburn, Hoenderdaal, Nassar, Fishman)</t>
  </si>
  <si>
    <t>The references they use are already present</t>
  </si>
  <si>
    <t>Globale Verwendungsstrukturen der Magnetwerkstoffe Neodym und Dysprosium: Eine szenariobasierte Analyse der Auswirkung der Diffusion der Elektromobilität auf den Bedarf an Seltenen Erden</t>
  </si>
  <si>
    <t>Glöser-Chahoud_2016</t>
  </si>
  <si>
    <t>Its values are the ones used in Bleicher_2020</t>
  </si>
  <si>
    <t>Resource constraints in a hydrogen economy based on renewable energy sources: An exploration</t>
  </si>
  <si>
    <t>Kleijn_2010</t>
  </si>
  <si>
    <t>Watari_2019</t>
  </si>
  <si>
    <t>Total material requirement for the global energy transition to 2050: A focus on transport and electricity</t>
  </si>
  <si>
    <t>https://doi.org/10.1016/j.rser.2010.07.066</t>
  </si>
  <si>
    <t>Their source is Ecoinvent 2.0. We are already using Ecoinvent</t>
  </si>
  <si>
    <t>https://doi.org/10.1016/j.resconrec.2019.05.015</t>
  </si>
  <si>
    <t>Data retrieved from Table S9</t>
  </si>
  <si>
    <t>The references they use are already present (WorldBank_2017, Moss_2013, Fizaine_2015, etc)</t>
  </si>
  <si>
    <t>Deetman_2018</t>
  </si>
  <si>
    <t>https://pubs.acs.org/doi/abs/10.1021/acs.est.7b05549</t>
  </si>
  <si>
    <t>Scenarios for Demand Growth of Metals in Electricity Generation Technologies, Cars, and Electronic Appliances</t>
  </si>
  <si>
    <t>Data retrieved from SI, subsection 1.1.3</t>
  </si>
  <si>
    <t>We already used Alonso_2012</t>
  </si>
  <si>
    <t>10.1016/j.enpol.2011.11.018</t>
  </si>
  <si>
    <t>A global renewable mix with proven technologies and common materials</t>
  </si>
  <si>
    <t>Garcia-Olivares_2011</t>
  </si>
  <si>
    <t>Wind Turbine</t>
  </si>
  <si>
    <t>I discard this value. It is really low and it comes from a source previous to 2010</t>
  </si>
  <si>
    <t>https://doi.org/10.1007/s40243-019-0146-z</t>
  </si>
  <si>
    <t>Leader_2019</t>
  </si>
  <si>
    <t>The effect of critical material prices on the competitiveness of clean energy technologies</t>
  </si>
  <si>
    <t>Data retrieved from Table 1</t>
  </si>
  <si>
    <t>Pavel_2017</t>
  </si>
  <si>
    <t>Substitution strategies for reducing the use of rare earths in wind turbines</t>
  </si>
  <si>
    <t>http://dx.doi.org/10.1016/j.resourpol.2017.04.010</t>
  </si>
  <si>
    <t>Raw metal needs and supply risks for the development of wind energy in Germany until 2050</t>
  </si>
  <si>
    <t>Shammugam,_2019</t>
  </si>
  <si>
    <t>0.1-0.8</t>
  </si>
  <si>
    <t>The references they used were already present</t>
  </si>
  <si>
    <t xml:space="preserve">
Incorporating critical material cycles into metal-energy nexus of China’s 2050 renewable transition</t>
  </si>
  <si>
    <t>Wang_2019</t>
  </si>
  <si>
    <t>https://doi.org/10.1016/j.apenergy.2019.113612</t>
  </si>
  <si>
    <t>They use Viehban_2015 and Arvesen_2012</t>
  </si>
  <si>
    <t>Assessing the life cycle environmental impacts of wind power: A review of present knowledge and research needs</t>
  </si>
  <si>
    <t>Arvesen_2012</t>
  </si>
  <si>
    <t>https://doi.org/10.1016/j.rser.2012.06.023</t>
  </si>
  <si>
    <t>Busch_2014</t>
  </si>
  <si>
    <t>Managing critical materials with a technology-specific stocks and flows model</t>
  </si>
  <si>
    <t>dx.doi.org/10.1021/es404877u</t>
  </si>
  <si>
    <t>They use USDOE_2010</t>
  </si>
  <si>
    <t>Dynamic Substance Flow Analysis of Neodymium and Dysprosium Associated with Neodymium Magnets in Japan</t>
  </si>
  <si>
    <t>Sekine_2017</t>
  </si>
  <si>
    <t>Recovering the “new twin”: Analysis of secondary neodymium sources and recycling potentials in Europe</t>
  </si>
  <si>
    <t>Ciacci_2017</t>
  </si>
  <si>
    <t>https://doi.org/10.1016/j.resconrec.2018.11.024</t>
  </si>
  <si>
    <t>We already use Cullbrand_2011 and Sekine_2017</t>
  </si>
  <si>
    <t>https://doi.org/10.1111/jiec.12458</t>
  </si>
  <si>
    <t>deKoning_2018</t>
  </si>
  <si>
    <t>Metal supply constraints for a low-carbon economy?</t>
  </si>
  <si>
    <t>https://doi.org/10.1016/j.resconrec.2017.10.040</t>
  </si>
  <si>
    <t>PHEV</t>
  </si>
  <si>
    <t>kg metal/car</t>
  </si>
  <si>
    <t>Data retrieved from SI, subsection 1.3.1</t>
  </si>
  <si>
    <t>We are already using those references</t>
  </si>
  <si>
    <t>Ortego_2018</t>
  </si>
  <si>
    <t>Vehicles and Critical Raw Materials: A Sustainability Assessment Using Thermodynamic Rarity</t>
  </si>
  <si>
    <t>10.1111/jiec.12737</t>
  </si>
  <si>
    <t>They use Alonso_2012, Cullbrand_2012, Grandell_2016</t>
  </si>
  <si>
    <t>Watari_2020</t>
  </si>
  <si>
    <t>Review of critical metal dynamics to 2050 for 48 elements</t>
  </si>
  <si>
    <t>https://doi.org/10.1016/j.resconrec.2019.104669</t>
  </si>
  <si>
    <t>It is a review - We want to avoid duplicating data points</t>
  </si>
  <si>
    <t>References already present</t>
  </si>
  <si>
    <t>c-Si</t>
  </si>
  <si>
    <t>CdTe</t>
  </si>
  <si>
    <t>CIGS</t>
  </si>
  <si>
    <t>a-Si</t>
  </si>
  <si>
    <t>Cd</t>
  </si>
  <si>
    <t>Se</t>
  </si>
  <si>
    <t xml:space="preserve"> </t>
  </si>
  <si>
    <t>Monitoring and assessing technology choice: the case of solar cells</t>
  </si>
  <si>
    <t>Andersson_2000</t>
  </si>
  <si>
    <t>We discard this reference for being too old</t>
  </si>
  <si>
    <t>https://doi.org/10.1016/S0301-4215(00)00090-2</t>
  </si>
  <si>
    <t>Schlegel_2013</t>
  </si>
  <si>
    <t>Rashedi&amp;Khanam_2020_mono-Si</t>
  </si>
  <si>
    <t>Data retrieved from Table A12, A13</t>
  </si>
  <si>
    <t>kg metal/ MW</t>
  </si>
  <si>
    <t>Li_2018</t>
  </si>
  <si>
    <t>Evaluation of long-term silver supply shortage for c-Si PV under different technological scenarios</t>
  </si>
  <si>
    <t>https://onlinelibrary.wiley.com/doi/epdf/10.1111/nrm.12176</t>
  </si>
  <si>
    <t>Analysis of Potential for Critical Metal Resource Constraints in the International Energy Agency’s Long-Term Low-Carbon Energy Scenarios</t>
  </si>
  <si>
    <t>Watari_2018</t>
  </si>
  <si>
    <t>https://doi.org/10.3390/min8040156</t>
  </si>
  <si>
    <t>Nansai</t>
  </si>
  <si>
    <t>Mclellan_2016</t>
  </si>
  <si>
    <t>Bleiwas_2010</t>
  </si>
  <si>
    <t>Berry</t>
  </si>
  <si>
    <t xml:space="preserve"> Total material requirement for the global energy transition to 2050: A focus on transport and electricity</t>
  </si>
  <si>
    <t>It's a review</t>
  </si>
  <si>
    <t>Byproduct metal requirements for U.S. wind and solar photovoltaic electricity generation up to the year 2040 under various Clean Power Plan scenarios</t>
  </si>
  <si>
    <t>https://doi.org/10.1016/j.apenergy.2016.08.062</t>
  </si>
  <si>
    <t>siGe</t>
  </si>
  <si>
    <t>Data retrieved from Table A.2.</t>
  </si>
  <si>
    <t>We will be using directly Moss_2011 and Ohrlund_2012</t>
  </si>
  <si>
    <t>Ohrlund_2012</t>
  </si>
  <si>
    <t>Future Metal Demand from Photovoltaic Cells and Wind Turbines</t>
  </si>
  <si>
    <t>https://www.europarl.europa.eu/RegData/etudes/etudes/join/2011/471604/IPOL-JOIN_ET(2011)471604_EN.pdf</t>
  </si>
  <si>
    <t>Data retrieved from Table A6</t>
  </si>
  <si>
    <t>As</t>
  </si>
  <si>
    <t>Ba</t>
  </si>
  <si>
    <t>Hg</t>
  </si>
  <si>
    <t>Os</t>
  </si>
  <si>
    <t>Si</t>
  </si>
  <si>
    <t>CIGS/CIS</t>
  </si>
  <si>
    <t>Entwicklungslinien der PV-Technologie und Materialsubstitutionsmöglichkeiten</t>
  </si>
  <si>
    <t>It is an online ppt presentation. We are only considering reports and scientific publications</t>
  </si>
  <si>
    <t>aSiGe</t>
  </si>
  <si>
    <t>Requirements for Minerals and Metals for 100% Renewable Scenarios</t>
  </si>
  <si>
    <t>Giurco_2019</t>
  </si>
  <si>
    <t>Data retrieved from Table 5</t>
  </si>
  <si>
    <t>Davidsson_2017</t>
  </si>
  <si>
    <t>Material requirements and availability for multi-terawatt deployment of photovoltaics</t>
  </si>
  <si>
    <t>http://dx.doi.org/10.1016/j.enpol.2017.06.028</t>
  </si>
  <si>
    <t>They retrieve the data from Kavlak_2015</t>
  </si>
  <si>
    <t>Kavlak_2015</t>
  </si>
  <si>
    <t>Metal production requirements for rapid photovoltaics deployment</t>
  </si>
  <si>
    <t>https://pubs.rsc.org/en/content/articlelanding/2015/ee/c5ee00585j</t>
  </si>
  <si>
    <t>Data retrieved from Table 11.2</t>
  </si>
  <si>
    <t>Sustainability metrics for extending thin-film photovoltaics to terawatt levels</t>
  </si>
  <si>
    <t>Fthenakis_2012</t>
  </si>
  <si>
    <t>Critical Minerals and Energy-Impacts and Limitations of Moving to Unconventional Resources</t>
  </si>
  <si>
    <t>Zhou_2020</t>
  </si>
  <si>
    <t>Dynamic criticality of by-products used in thin-film photovoltaic technologies by 2050</t>
  </si>
  <si>
    <t>kg/MW</t>
  </si>
  <si>
    <t>https://link.springer.com/article/10.1557/mrs.2012.50</t>
  </si>
  <si>
    <t>a-SiGe</t>
  </si>
  <si>
    <t>https://doi.org/10.3390/resources5020019</t>
  </si>
  <si>
    <t>Their reference is Fthenakis_2012</t>
  </si>
  <si>
    <t>https://doi.org/10.1016/j.jclepro.2020.121599</t>
  </si>
  <si>
    <t>They use references already present in this list</t>
  </si>
  <si>
    <t>The references they use are already present in this list</t>
  </si>
  <si>
    <t>We take the average of the three scenarios they present</t>
  </si>
  <si>
    <t>Pihl_et_al_2012</t>
  </si>
  <si>
    <t>Viebahn_2004</t>
  </si>
  <si>
    <t>https://doi.org/10.1016/j.energy.2012.04.057</t>
  </si>
  <si>
    <t>Cement</t>
  </si>
  <si>
    <t>Aluminium (Elemental)</t>
  </si>
  <si>
    <t>Fibreglass</t>
  </si>
  <si>
    <t>Foam glass</t>
  </si>
  <si>
    <t>Glass</t>
  </si>
  <si>
    <t>KNO3</t>
  </si>
  <si>
    <t>Lime</t>
  </si>
  <si>
    <t>Limestone</t>
  </si>
  <si>
    <t>Magnesium</t>
  </si>
  <si>
    <t>NaNO3</t>
  </si>
  <si>
    <t>Oil</t>
  </si>
  <si>
    <t>Polypropylene</t>
  </si>
  <si>
    <t>Rock</t>
  </si>
  <si>
    <t>Rock wool</t>
  </si>
  <si>
    <t>Sand</t>
  </si>
  <si>
    <t>Silicon sand</t>
  </si>
  <si>
    <t>Soda ash</t>
  </si>
  <si>
    <t>Titanium</t>
  </si>
  <si>
    <t>Trough</t>
  </si>
  <si>
    <t>Tower</t>
  </si>
  <si>
    <t>Data retrieved from page 664</t>
  </si>
  <si>
    <t>PT</t>
  </si>
  <si>
    <t>ST</t>
  </si>
  <si>
    <t>Fresnel</t>
  </si>
  <si>
    <t>Rohstoffe für Zukunftstechnologien - Einfluss des branchenspezifischen Rohstoffbedarfs in rohstoffintensiven Zukunftstechnologien auf die zukünftige Rohstoffnachfrage</t>
  </si>
  <si>
    <t>They use Moss_2011, Angerer_2009, Viebahn_2004 and Winterbach_2011</t>
  </si>
  <si>
    <t>https://www.isi.fraunhofer.de/content/dam/isi/dokumente/ccn/2009/Schlussbericht_lang_20090515.pdf</t>
  </si>
  <si>
    <t>SOKRATES-Projekt: Solarthermische Kraftwerkstechnologie für den Schutz des Erdklimas</t>
  </si>
  <si>
    <t>Already used by Angerer_2009</t>
  </si>
  <si>
    <t>Angerer_2009</t>
  </si>
  <si>
    <t>Data retrieved from page 97</t>
  </si>
  <si>
    <t>Data retrieved from Table A.3</t>
  </si>
  <si>
    <t>They present the same number as Angerer_2009</t>
  </si>
  <si>
    <t>Renewable Energy and Deep Sea Mining: Supply</t>
  </si>
  <si>
    <t xml:space="preserve"> Demand and Scenarios</t>
  </si>
  <si>
    <t>Teske_2016</t>
  </si>
  <si>
    <t>https://www.savethehighseas.org/wp-content/uploads/2017/05/DSM-RE-Resource-Report_UTS_July2016.pdf</t>
  </si>
  <si>
    <t>Data retrieved from Table 12</t>
  </si>
  <si>
    <t>NREL_2020</t>
  </si>
  <si>
    <t>https://solarpaces.nrel.gov/</t>
  </si>
  <si>
    <t>We take the values calculated by DLR</t>
  </si>
  <si>
    <t>Data retrieved from Table A11</t>
  </si>
  <si>
    <t>Hf</t>
  </si>
  <si>
    <t>U</t>
  </si>
  <si>
    <t>V</t>
  </si>
  <si>
    <t>Global material requirements for the energy transition. An exergy flow analysis of decarbonisation pathways</t>
  </si>
  <si>
    <t>https://doi.org/10.1016/j.energy.2018.06.149</t>
  </si>
  <si>
    <t>Data retrieved from Table S5</t>
  </si>
  <si>
    <t>Hafnium</t>
  </si>
  <si>
    <t>Tungsten</t>
  </si>
  <si>
    <t>Zirconium</t>
  </si>
  <si>
    <t>They take their data from Moss_2011</t>
  </si>
  <si>
    <t>AP1000/Trojan</t>
  </si>
  <si>
    <t>Metal resource constraints for electric-vehicle batteries</t>
  </si>
  <si>
    <t>Andersson_2001</t>
  </si>
  <si>
    <t>Battery</t>
  </si>
  <si>
    <t>Metal</t>
  </si>
  <si>
    <t>kg metal/kWh</t>
  </si>
  <si>
    <t>Specific energy Wh/kg</t>
  </si>
  <si>
    <t>kg metal/kg battery</t>
  </si>
  <si>
    <t>Li-metal(V)</t>
  </si>
  <si>
    <t>Li-ion(Mn)</t>
  </si>
  <si>
    <t>Li-ion(Ni)</t>
  </si>
  <si>
    <t>Li-ion(Co)</t>
  </si>
  <si>
    <t>NaNiCl</t>
  </si>
  <si>
    <t>NiMH (AB2)</t>
  </si>
  <si>
    <t>NiMH (AB5)</t>
  </si>
  <si>
    <t>NiCd</t>
  </si>
  <si>
    <t>PbA</t>
  </si>
  <si>
    <t>REE</t>
  </si>
  <si>
    <t>Data retrieved from Tabelle 4-66</t>
  </si>
  <si>
    <t>Redox-Flow batteries</t>
  </si>
  <si>
    <t>kg/kWh</t>
  </si>
  <si>
    <t>Fe/Cr</t>
  </si>
  <si>
    <t>V/B</t>
  </si>
  <si>
    <t>Zn/B</t>
  </si>
  <si>
    <t>V/V</t>
  </si>
  <si>
    <t>V3+</t>
  </si>
  <si>
    <t>V4+</t>
  </si>
  <si>
    <t>https://www.mckinsey.com/~/media/mckinsey/industries/metals%20and%20mining/our%20insights/lithium%20and%20cobalt%20a%20tale%20of%20two%20commodities/lithium-and-cobalt-a-tale-of-two-commodities.pdf</t>
  </si>
  <si>
    <t>Azevedo_2018</t>
  </si>
  <si>
    <t>Lithium and cobalt - a tale of two commodities</t>
  </si>
  <si>
    <t>Data retrieved from Exhibit 8</t>
  </si>
  <si>
    <t>kg Nickel/kWh</t>
  </si>
  <si>
    <t>kg Nickel/kg battery</t>
  </si>
  <si>
    <t>LCO</t>
  </si>
  <si>
    <t>NMC1</t>
  </si>
  <si>
    <t>LMO</t>
  </si>
  <si>
    <t>LFP</t>
  </si>
  <si>
    <t>NCA</t>
  </si>
  <si>
    <t>Life Cycle Analysis of Lithium-Ion Batteries for Automotive Applications</t>
  </si>
  <si>
    <t>Dai_2019</t>
  </si>
  <si>
    <t>https://doi.org/10.3390/batteries5020048</t>
  </si>
  <si>
    <t>Data retrieved from Table S1 and S4</t>
  </si>
  <si>
    <t>NMC111</t>
  </si>
  <si>
    <t>LiPF6</t>
  </si>
  <si>
    <t>Li2CO3</t>
  </si>
  <si>
    <t>NiSO4</t>
  </si>
  <si>
    <t>MnSO4</t>
  </si>
  <si>
    <t>CoSO4</t>
  </si>
  <si>
    <t>Component</t>
  </si>
  <si>
    <t>Relevant metal</t>
  </si>
  <si>
    <t>Sulfur</t>
  </si>
  <si>
    <t>kWh</t>
  </si>
  <si>
    <t>Battery weight</t>
  </si>
  <si>
    <t>Battery energy</t>
  </si>
  <si>
    <t>kg of relevant metal/kg NMC powder</t>
  </si>
  <si>
    <t>kg/kg NMC powder</t>
  </si>
  <si>
    <t>kg/kg battery</t>
  </si>
  <si>
    <t>kg of relevant metal/kg battery</t>
  </si>
  <si>
    <t>Li-ion</t>
  </si>
  <si>
    <t>Li-S</t>
  </si>
  <si>
    <t>Energy and Environmental Impacts of Electric Vehicle Battery Production and Recycling</t>
  </si>
  <si>
    <t>Gaines_1995</t>
  </si>
  <si>
    <t>Discarded for temporal boundaries (Data from 1995)</t>
  </si>
  <si>
    <r>
      <t>Table S1</t>
    </r>
    <r>
      <rPr>
        <sz val="11"/>
        <color theme="1"/>
        <rFont val="Times New Roman"/>
        <family val="1"/>
      </rPr>
      <t>. Material requirements per kWh of battery for various battery types in different drive trains, assumed battery capacities, and resulting material masses per vehicle, computed as explained in the accompanying online supplement text.</t>
    </r>
  </si>
  <si>
    <t>NCA-G (LiNiCoAl)</t>
  </si>
  <si>
    <t>LFP-G (LiFePO4)</t>
  </si>
  <si>
    <t>LFP-LTO</t>
  </si>
  <si>
    <r>
      <t>NMC</t>
    </r>
    <r>
      <rPr>
        <vertAlign val="subscript"/>
        <sz val="11"/>
        <color theme="1"/>
        <rFont val="Times New Roman"/>
        <family val="1"/>
      </rPr>
      <t>111</t>
    </r>
    <r>
      <rPr>
        <sz val="11"/>
        <color theme="1"/>
        <rFont val="Times New Roman"/>
        <family val="1"/>
      </rPr>
      <t>-G</t>
    </r>
  </si>
  <si>
    <r>
      <t>NMC</t>
    </r>
    <r>
      <rPr>
        <vertAlign val="subscript"/>
        <sz val="11"/>
        <color theme="1"/>
        <rFont val="Times New Roman"/>
        <family val="1"/>
      </rPr>
      <t>622</t>
    </r>
    <r>
      <rPr>
        <sz val="11"/>
        <color theme="1"/>
        <rFont val="Times New Roman"/>
        <family val="1"/>
      </rPr>
      <t>-G</t>
    </r>
  </si>
  <si>
    <t>P</t>
  </si>
  <si>
    <t>Battery capacity</t>
  </si>
  <si>
    <t>Mass (kg) per LDV</t>
  </si>
  <si>
    <t>Data retrieved from Table S1</t>
  </si>
  <si>
    <t>NCA-G</t>
  </si>
  <si>
    <t>LFP-G</t>
  </si>
  <si>
    <t>NMC-G</t>
  </si>
  <si>
    <t>NMC622</t>
  </si>
  <si>
    <t>Energy density (kWh/kg battery)</t>
  </si>
  <si>
    <t>Global EV Outlook 2018 - Towards cross-model electrification</t>
  </si>
  <si>
    <t>IEA_2018</t>
  </si>
  <si>
    <t>https://doi.org/10.1787/bdb28e12-en</t>
  </si>
  <si>
    <t>Data retrieved from Table 6.1</t>
  </si>
  <si>
    <t>NMC433</t>
  </si>
  <si>
    <t>NMC532</t>
  </si>
  <si>
    <t>NMC811</t>
  </si>
  <si>
    <t>The EV revolution: The road ahead for critical raw materials demand</t>
  </si>
  <si>
    <t>Jones_2020</t>
  </si>
  <si>
    <t>https://doi.org/10.1016/j.apenergy.2020.115072</t>
  </si>
  <si>
    <t>NiMH</t>
  </si>
  <si>
    <t>Raw material needs by the Li-Ion battery industry</t>
  </si>
  <si>
    <t>Kauranen_2017</t>
  </si>
  <si>
    <t>http://closeloop.fi/wp-content/uploads/2017/05/Li-raw-materials-20170517.pdf</t>
  </si>
  <si>
    <t>The time dimension and lithium resource constraints for electric vehicles</t>
  </si>
  <si>
    <t>Kushnir_2012</t>
  </si>
  <si>
    <t>Not accesible</t>
  </si>
  <si>
    <t>kg lithium/kWh</t>
  </si>
  <si>
    <t>kg lithium/kg battery</t>
  </si>
  <si>
    <t>LiNiCo</t>
  </si>
  <si>
    <t>FePO4</t>
  </si>
  <si>
    <t>LiTiO</t>
  </si>
  <si>
    <t>LiNaPO4</t>
  </si>
  <si>
    <t>Rohstoffe für Zukunftstechnologien</t>
  </si>
  <si>
    <t>Marscheider-Weidemann_2016</t>
  </si>
  <si>
    <t>https://doi.org/10.1016/j.resourpol.2011.11.003</t>
  </si>
  <si>
    <t>Data retrieved from Figure 3</t>
  </si>
  <si>
    <t>https://www.isi.fraunhofer.de/content/dam/isi/dokumente/ccn/2016/Studie_Zukunftstechnologien-2016.pdf</t>
  </si>
  <si>
    <t>NMC</t>
  </si>
  <si>
    <t>Data retrieved from Tab. 4.57 and Tab 4.56</t>
  </si>
  <si>
    <t xml:space="preserve"> Environmental consequences of the use of batteries in low carbon systems : The impact of battery production</t>
  </si>
  <si>
    <t>McManus_2012</t>
  </si>
  <si>
    <t>https://doi.org/10.1016/j.apenergy.2011.12.062</t>
  </si>
  <si>
    <t>We follow the assumptions and calculations by DLR</t>
  </si>
  <si>
    <t>Energy density from Zackrisson_2010</t>
  </si>
  <si>
    <t>Life cycle assessment of lithium-ion batteries for plug-in hybrid electric
vehicles e Critical issue</t>
  </si>
  <si>
    <t>Moss_2013</t>
  </si>
  <si>
    <t>Data retrieved from Table 54,58,59,61</t>
  </si>
  <si>
    <t xml:space="preserve"> Battery energy (kWh)</t>
  </si>
  <si>
    <t>Specific energy (kWh/kg)</t>
  </si>
  <si>
    <t>kg per vehicle</t>
  </si>
  <si>
    <t>kg metal / kWh</t>
  </si>
  <si>
    <t>kg metal / kg battery</t>
  </si>
  <si>
    <t>AVERAGE</t>
  </si>
  <si>
    <t>Lithium-Ion Battery Supply Chain Considerations: Analysis of Potential Bottlenecks in Critical Metals</t>
  </si>
  <si>
    <t>Olivetti_2017</t>
  </si>
  <si>
    <t>https://doi.org/10.1016/j.joule.2017.08.019</t>
  </si>
  <si>
    <t>Future Resource Availability for the Production of Lithium-Ion Vehicle Batteries</t>
  </si>
  <si>
    <t>https://www.researchgate.net/publication/263888647_COFAT_2014_-_Future_Resource_Availability_for_the_Production_of_Lithium-Ion_Vehicle_Batteries#fullTextFileContent</t>
  </si>
  <si>
    <t>Reuter_2014</t>
  </si>
  <si>
    <t>Criticality of metals for electrochemical energy storgae systems - Development towards a technology spcific indicator</t>
  </si>
  <si>
    <t>Simon_2014</t>
  </si>
  <si>
    <t>https://doi.org/10.1051/metal/2014010</t>
  </si>
  <si>
    <t>Data retrieved from Table 2 and Table 3</t>
  </si>
  <si>
    <t>LiO</t>
  </si>
  <si>
    <t>LiS</t>
  </si>
  <si>
    <t>Potential metal requirement of active materials in lithium-ion battery cells of electric vehicles and it's impact on reserves: Focus on europe</t>
  </si>
  <si>
    <t>Simon_2015</t>
  </si>
  <si>
    <t>https://doi.org/10.1016/j.resconrec.2015.07.011</t>
  </si>
  <si>
    <t>Their references are not clear. As it is a review (and Simon_2014 already included) I discard it to avoid double counting</t>
  </si>
  <si>
    <t>Ableitung von Recycling- und Umweltanforderungen und Strategien zur Vermeidung von Versorgungsrisiken bei innovativen Energiespeichern</t>
  </si>
  <si>
    <t>Stahl_2016</t>
  </si>
  <si>
    <t>https://www.umweltbundesamt.de/publikationen/ableitung-von-recycling-umweltanforderungen</t>
  </si>
  <si>
    <t>Data retrieved from Table 3-7, 3-8, 3-11</t>
  </si>
  <si>
    <t>LNMC</t>
  </si>
  <si>
    <t>LNCA</t>
  </si>
  <si>
    <t>LTO</t>
  </si>
  <si>
    <t>LNMC-2</t>
  </si>
  <si>
    <t>LNCA-2</t>
  </si>
  <si>
    <t>LFP-2</t>
  </si>
  <si>
    <t xml:space="preserve"> A Review of Battery Life-Cycle Analysis: State of Knowledge and Critical Needs</t>
  </si>
  <si>
    <t>Sullivan_2010</t>
  </si>
  <si>
    <t>https://publications.anl.gov/anlpubs/2010/11/68455.pdf</t>
  </si>
  <si>
    <t>We are not considering NaS</t>
  </si>
  <si>
    <t>The dynamic equilibrium mechansim of regional lithium flow for transportation electrification</t>
  </si>
  <si>
    <t>Sun_2018</t>
  </si>
  <si>
    <t>http://dx.doi.org/10.1021/acs.est.8b04288</t>
  </si>
  <si>
    <t>NMC333</t>
  </si>
  <si>
    <t>Data retrieved from Table S3</t>
  </si>
  <si>
    <t>Li-ion batteries for mobility and stationary storage applications</t>
  </si>
  <si>
    <t>Tsiropoulos_2018</t>
  </si>
  <si>
    <t>https://publications.jrc.ec.europa.eu/repository/handle/JRC113360</t>
  </si>
  <si>
    <t>Their references are already included</t>
  </si>
  <si>
    <t>The issue of metal resources in Li-Ion batteries for electric vehicles</t>
  </si>
  <si>
    <t>Weil_2018</t>
  </si>
  <si>
    <t>https://link.springer.com/chapter/10.1007/978-3-319-69950-9_3</t>
  </si>
  <si>
    <t>NCM</t>
  </si>
  <si>
    <t>Data retrieved from Table 1, p.62</t>
  </si>
  <si>
    <t>%w</t>
  </si>
  <si>
    <t>Total weight (kg)</t>
  </si>
  <si>
    <t>Future material demand for automotive lithium-based batteries</t>
  </si>
  <si>
    <t>Xu_2020</t>
  </si>
  <si>
    <t>https://doi.org/10.1038/s43246-020-00095-x</t>
  </si>
  <si>
    <t>Data retrieved from ST25</t>
  </si>
  <si>
    <t>NCM111</t>
  </si>
  <si>
    <t>NCM523</t>
  </si>
  <si>
    <t>NCM622</t>
  </si>
  <si>
    <t>Li Air</t>
  </si>
  <si>
    <t>kg/battery pack</t>
  </si>
  <si>
    <t>NCM622-Graphite(Si)</t>
  </si>
  <si>
    <t>NCM811-Graphite(Si)</t>
  </si>
  <si>
    <t>NCM955-Graphite(Si)</t>
  </si>
  <si>
    <t>Modeling the potential impact of lithium recycling from EV batteries on lithium demand: A dynamic MFA approach</t>
  </si>
  <si>
    <t>Ziemann_2018</t>
  </si>
  <si>
    <t>https://doi.org/10.1016/j.resconrec.2018.01.031</t>
  </si>
  <si>
    <r>
      <rPr>
        <b/>
        <sz val="11"/>
        <color theme="1"/>
        <rFont val="Calibri"/>
        <family val="2"/>
        <scheme val="minor"/>
      </rPr>
      <t>NMC111</t>
    </r>
    <r>
      <rPr>
        <sz val="11"/>
        <color theme="1"/>
        <rFont val="Calibri"/>
        <family val="2"/>
        <scheme val="minor"/>
      </rPr>
      <t xml:space="preserve"> poweder</t>
    </r>
  </si>
  <si>
    <t>Performance and cost of automotive fuel cell systems with ultra-low platinum loadings</t>
  </si>
  <si>
    <t>Ahluwalia_2011</t>
  </si>
  <si>
    <t>doi:10.1016/j.jpowsour.2011.01.059</t>
  </si>
  <si>
    <t>Data retrieved from page 4629</t>
  </si>
  <si>
    <t>Platinum Availability for Future Automotive Technologies</t>
  </si>
  <si>
    <t>https://doi.org/10.1021/es301110e</t>
  </si>
  <si>
    <t>We will be using its references</t>
  </si>
  <si>
    <t>Carlson_2003</t>
  </si>
  <si>
    <t>Availability and Economics for PEMFC Commercialization</t>
  </si>
  <si>
    <t>James, B. D.; Kalinoski, J. A.; Baum, K. N. Mass Production Cost Estimation for Direct H 2 PEM Fuel Cell Systems for Automotive Applications: 2010 Update; U.S. Dept. of Energy: Arlington, VA, 2010; http://www1.eere.energy.gov/hydrogenandfuelcells/pdfs/dti_80kwW_fc_system_cost_analysis_report_2010.pdf.</t>
  </si>
  <si>
    <t>U.S. Dept. of Energy. Fuel Cell Technologies Program Multi-Year Research, Development and Demonstration Plan; 2011;http://www1.eere.energy.gov/hydrogenandfuelcells/mypp/pdfs/fuel_cells.pdf.</t>
  </si>
  <si>
    <t>Sinha, J.; Lasher, S.; Yang, Y.; Kopf, P. Direct Hydrogen PEMFC Manufacturing Cost Estimation for Automotive Applications; Tiax LLC: Cambridge, MA, September 24, 2008. http://www1.eere.energy.gov/hydrogenandfuelcells/pdfs/fctt_pemfc_cost_review_0908.pdf.</t>
  </si>
  <si>
    <t>Carlson, E. J. Platinum Availability and Economics for PEMFC Commercialization; US Department of Energy and TIAX LLC.: Cambridge, MA, 2003; http://www.cleanfuelcellenergy.com/tiax_platinum.pdf</t>
  </si>
  <si>
    <t>https://www1.eere.energy.gov/hydrogenandfuelcells/pdfs/tiax_platinum.pdf</t>
  </si>
  <si>
    <t>PEMFC</t>
  </si>
  <si>
    <t>https://www.energy.gov/eere/fuelcells/articles/mass-production-cost-estimation-direct-h2-pem-fuel-cell-systems-7</t>
  </si>
  <si>
    <t>James_2018</t>
  </si>
  <si>
    <t>Mass Production Cost Estimation for Direct H 2 PEM Fuel Cell Systems for Automotive Applications: 2018 Update</t>
  </si>
  <si>
    <t>kg Pt/MW</t>
  </si>
  <si>
    <t>I discarded for being to outdate - 2003</t>
  </si>
  <si>
    <t>Fuel Cell Technologies Program Multi-Year Research, Development and Demonstration Plan; 2011</t>
  </si>
  <si>
    <t>http://www1.eere.energy.gov/hydrogenandfuelcells/mypp/pdfs/fuel_cells.pdf</t>
  </si>
  <si>
    <t>USDOE_2011</t>
  </si>
  <si>
    <t>Data retrieved from Figure 13</t>
  </si>
  <si>
    <t>Data retrieved from Table 3.4.13</t>
  </si>
  <si>
    <t>Sinha_2008</t>
  </si>
  <si>
    <t>http://www1.eere.energy.gov/hydrogenandfuelcells/pdfs/fctt_pemfc_cost_review_0908.pdf</t>
  </si>
  <si>
    <t>Direct Hydrogen PEMFC Manufacturing Cost Estimation for Automotive Applications</t>
  </si>
  <si>
    <t>Data retrieved from page 12</t>
  </si>
  <si>
    <t>Materials and the Environment. 2nd Edition</t>
  </si>
  <si>
    <t>Ashby_2013</t>
  </si>
  <si>
    <t>doi.org/10.1016/C2010-0-66554-0</t>
  </si>
  <si>
    <t>PWR</t>
  </si>
  <si>
    <t>Brass/Bronze</t>
  </si>
  <si>
    <t>Carbon steel</t>
  </si>
  <si>
    <t>Galavanized iron</t>
  </si>
  <si>
    <t>Inconel</t>
  </si>
  <si>
    <t>Insulation</t>
  </si>
  <si>
    <t>PVC</t>
  </si>
  <si>
    <t>Stainless steel</t>
  </si>
  <si>
    <t>Uranium</t>
  </si>
  <si>
    <t>Wood</t>
  </si>
  <si>
    <t>Data retrieved from Chapter 12, Appendix 2</t>
  </si>
  <si>
    <t>SOFC</t>
  </si>
  <si>
    <t>PAFC</t>
  </si>
  <si>
    <t>Iron and steel</t>
  </si>
  <si>
    <t>Carbon allotropes</t>
  </si>
  <si>
    <t>Ceramics</t>
  </si>
  <si>
    <t>Phosphoric acid</t>
  </si>
  <si>
    <t>Manufacturing Cost Analysis of 10 kW and 25 kW Direct Hydrogen Polymer Electrolyte Membrane (PEM) Fuel Cell for Material Handling Applications</t>
  </si>
  <si>
    <t>Battelle_2013</t>
  </si>
  <si>
    <t>https://www.energy.gov/eere/fuelcells/articles/manufacturing-cost-analysis-10-kw-and-25-kw-direct-hydrogen-polymer</t>
  </si>
  <si>
    <t>W/cm2</t>
  </si>
  <si>
    <t>mg/cm2</t>
  </si>
  <si>
    <t>Data retrieved from Table 4-2</t>
  </si>
  <si>
    <t>Busch_2017</t>
  </si>
  <si>
    <t>Closing the low-carbon material loop using a dynamic whole system approach</t>
  </si>
  <si>
    <t>https://www.sciencedirect.com/science/article/pii/S095965261730392X</t>
  </si>
  <si>
    <t>Values taken from Alonso_2012 (already included) and two other sources from 2010 or older</t>
  </si>
  <si>
    <t>Final report on technical data, costs and life cycle inventories of fuel cells</t>
  </si>
  <si>
    <t>Gerboni_2008</t>
  </si>
  <si>
    <t xml:space="preserve">http://www.needs-project.org/2009/Deliverables/RS1a D9.2 Final report on fuel cells.pdf </t>
  </si>
  <si>
    <t>https://doi.org/10.1016/j.renene.2016.03.102</t>
  </si>
  <si>
    <t>Data retrieved from Table 6 and Subsection 2.1.3.2</t>
  </si>
  <si>
    <t>Regulatory analysis, critical materials and components identification and mapping of recycling technologies: D2.2 Existing end-of-life technologies applicable to FCH products</t>
  </si>
  <si>
    <t>HyTechCycling_2018</t>
  </si>
  <si>
    <t>http://hytechcycling.eu/wp-content/uploads/d2-2-report-on-existing-recycling-technologies-applicable-to-fch-products.pdf</t>
  </si>
  <si>
    <t xml:space="preserve"> The Priority and Challenge of High-Power Performance of Low-Platinum PEMFCs</t>
  </si>
  <si>
    <t>Kongkanand_2016</t>
  </si>
  <si>
    <t>http://dx.doi.org/10.1021/acs.jpclett.6b00216</t>
  </si>
  <si>
    <t>Phosphorsaure Brennstoffzelle (PAFC). In: Brennstoffzellentechnik</t>
  </si>
  <si>
    <t>Kurzweil_2013</t>
  </si>
  <si>
    <t>https://doi.org/10.1007/978-3-658-00085-1_6</t>
  </si>
  <si>
    <t>Data retrieved from sections 6.3 and 6.5.2</t>
  </si>
  <si>
    <t>kW/m2</t>
  </si>
  <si>
    <t>Data retrieved from Tab 4.7 and 4.51</t>
  </si>
  <si>
    <t>Sc</t>
  </si>
  <si>
    <t>SOFC Yttrium</t>
  </si>
  <si>
    <t>Data retrieved from Table 10</t>
  </si>
  <si>
    <t>Data retrieved from Table 72</t>
  </si>
  <si>
    <t>DMFC</t>
  </si>
  <si>
    <t>A Life Cycle Assessment of the PureCell™ Stationary Fuel Cel System: Providing a Guide for Environmental Improvement</t>
  </si>
  <si>
    <t>Rooijen_2006</t>
  </si>
  <si>
    <t>https://css.umich.edu/sites/default/files/css_doc/CSS06-08.pdf</t>
  </si>
  <si>
    <t>200kW</t>
  </si>
  <si>
    <t>Silicium carbide</t>
  </si>
  <si>
    <t>Zinc oxide</t>
  </si>
  <si>
    <t>Phosphoric acid fuel cells: Fundamentals and applications</t>
  </si>
  <si>
    <t>Sammes_2004</t>
  </si>
  <si>
    <t>https://doi.org/10.1016/j.cossms.2005.01.001</t>
  </si>
  <si>
    <t>Platinum Group Metal Flows of Europe, Part II: Exploring the Technological and Institutional Potential for Reducing Environmental Impacts</t>
  </si>
  <si>
    <t>Saurat_2009</t>
  </si>
  <si>
    <t>https://doi.org/10.1111/j.1530-9290.2008.00106.x</t>
  </si>
  <si>
    <t>Data retrieved from Fig 1</t>
  </si>
  <si>
    <t>g/m2</t>
  </si>
  <si>
    <t>Life-cycle perspective on automotive fuel cells</t>
  </si>
  <si>
    <t>Simons_2015</t>
  </si>
  <si>
    <t>https://doi.org/10.1016/j.apenergy.2015.02.049</t>
  </si>
  <si>
    <t>We already include their reference (USDOE)</t>
  </si>
  <si>
    <t>https://www.umweltbundesamt.de/sites/default/files/medien/378/publikationen/texte_07_2016_ableitung_von_recycling-und_umweltanforderungen.pdf</t>
  </si>
  <si>
    <t>Data retrieved from Tabelle 3-37</t>
  </si>
  <si>
    <t>Data from Needs (2008) was already used in another reference</t>
  </si>
  <si>
    <t>Stropnik_2019</t>
  </si>
  <si>
    <t>https://doi.org/10.1002/ese3.441</t>
  </si>
  <si>
    <t>Critical materials in PEMFC systems and a LCA analysis for the potential reduction of environmental impacts with EoL strategies</t>
  </si>
  <si>
    <t>The impact of widespread deployment of fuel cell vehicles on platinum demand and price</t>
  </si>
  <si>
    <t>Sun_2011</t>
  </si>
  <si>
    <t>https://doi.org/10.1016/j.ijhydene.2011.05.157</t>
  </si>
  <si>
    <t>Data retrieved from page 1119</t>
  </si>
  <si>
    <t>They use USDOE (James_2018)</t>
  </si>
  <si>
    <t>We already include the updated report</t>
  </si>
  <si>
    <t>UKDfT_2003</t>
  </si>
  <si>
    <t>Outdated data</t>
  </si>
  <si>
    <t>Platinum and hydrogen for fuel cell vehicles</t>
  </si>
  <si>
    <t>USDOE_2012</t>
  </si>
  <si>
    <t>Fuel Cell Technologies Office: Multi-Year Research. Development, and Demonstration Plan</t>
  </si>
  <si>
    <t>We already include the latest report from USDOE</t>
  </si>
  <si>
    <t>They provide info per vehicle. Not possible to derivate fuel cell data</t>
  </si>
  <si>
    <t>Assessment of the Demand for Critical Raw Materials for the Implementation of Fuel Cells for Stationary and Mobile Applications</t>
  </si>
  <si>
    <t>Wittstock_2018</t>
  </si>
  <si>
    <t>https://link.springer.com/content/pdf/10.1007/978-3-662-57886-5_14.pdf</t>
  </si>
  <si>
    <t>Life cycle assessment of hydrogen from proton exchange membrane water electrolysis in future energy systems</t>
  </si>
  <si>
    <t>Bareiß_2019</t>
  </si>
  <si>
    <t>https://doi.org/10.1016/j.apenergy.2019.01.001</t>
  </si>
  <si>
    <t>PEMEL</t>
  </si>
  <si>
    <t>Power density</t>
  </si>
  <si>
    <t>Iridium</t>
  </si>
  <si>
    <t>Ir</t>
  </si>
  <si>
    <t>Data retrieved from Table 1 and Table 2</t>
  </si>
  <si>
    <t>Activated carbon</t>
  </si>
  <si>
    <t xml:space="preserve"> Study on development of water electrolysis in the EU. Final Report. Fuel Cells and Hydrogen Joint Undertaking</t>
  </si>
  <si>
    <t>Bertuccioli_2014</t>
  </si>
  <si>
    <t>Loading (commercial)</t>
  </si>
  <si>
    <t>Loading (pre-commercial)</t>
  </si>
  <si>
    <t>Current density</t>
  </si>
  <si>
    <t>A/cm2</t>
  </si>
  <si>
    <t>Voltage</t>
  </si>
  <si>
    <t>*** Assumed from Carmo et al. 2013</t>
  </si>
  <si>
    <t>https://refman.energytransitionmodel.com/publications/2020</t>
  </si>
  <si>
    <t>Final report on technical data, costs and lifecycle inventories of fuel cells</t>
  </si>
  <si>
    <t>Same values as Wuppertal Institut 2014</t>
  </si>
  <si>
    <t>Data retrieved from Subsection 2.1.4.1 and 2.1.4.2</t>
  </si>
  <si>
    <t>PEM</t>
  </si>
  <si>
    <t>AEL</t>
  </si>
  <si>
    <t>Platinum and palladium nano-particles supported by graphitic nano-fibers as catalysts for PEM water electrolysis</t>
  </si>
  <si>
    <t>Grigoriev_2010</t>
  </si>
  <si>
    <t>https://doi.org/10.1016/j.ijhydene.2010.07.013</t>
  </si>
  <si>
    <t>Data retrieved from Page 4145 and 4146</t>
  </si>
  <si>
    <t>Life cycle assessment of the manufacture and operation of solid oxide electrolyser components and stacks</t>
  </si>
  <si>
    <t>Häfele_2016</t>
  </si>
  <si>
    <t>https://doi.org/10.1016/j.ijhydene.2016.05.069</t>
  </si>
  <si>
    <t>HTEL</t>
  </si>
  <si>
    <t>HTEL Yttrium</t>
  </si>
  <si>
    <t>Chromium steel</t>
  </si>
  <si>
    <t>LSCF/LSCo/PrNi</t>
  </si>
  <si>
    <t>YSZ</t>
  </si>
  <si>
    <t>YDC</t>
  </si>
  <si>
    <t>LSM</t>
  </si>
  <si>
    <t>LSCF</t>
  </si>
  <si>
    <t>Lanthanum Stromtium Cobalt Ferrite</t>
  </si>
  <si>
    <t>LSCo</t>
  </si>
  <si>
    <t>Lanthanum Strontium Cobalt Oxide</t>
  </si>
  <si>
    <t>PrNi</t>
  </si>
  <si>
    <t xml:space="preserve">Praseodymium nickel </t>
  </si>
  <si>
    <t>yttria-stabilized zirconium</t>
  </si>
  <si>
    <t>yttria-doped ceria</t>
  </si>
  <si>
    <t>Chromium Steel</t>
  </si>
  <si>
    <t>O</t>
  </si>
  <si>
    <t>MW</t>
  </si>
  <si>
    <t>Stoichiometry</t>
  </si>
  <si>
    <t>LSCO</t>
  </si>
  <si>
    <t>https://www.sciencedirect.com/topics/engineering/yttria-stabilised-zirconia</t>
  </si>
  <si>
    <t>kg/kg</t>
  </si>
  <si>
    <t>PEM water electrolyzers: From electrocatalysis to stack development</t>
  </si>
  <si>
    <t>Millet_2010</t>
  </si>
  <si>
    <t>https://doi.org/10.1016/j.ijhydene.2009.09.015</t>
  </si>
  <si>
    <t>Data retrieved from Subsection 4.1.1</t>
  </si>
  <si>
    <t>An electrochemical study of a PEM stack for water electrolysis</t>
  </si>
  <si>
    <t>Siracusano_2011</t>
  </si>
  <si>
    <t>https://doi.org/10.1016/j.ijhydene.2011.06.019</t>
  </si>
  <si>
    <t>Studie IndWEDe: Industrialisierung der Wasserelektrolyse in Deutschland: Chancen und Herausforderungen für nachhaltigen Wasserstoff für Verkehr, Strom und Wärme</t>
  </si>
  <si>
    <t>Smolinka_2018</t>
  </si>
  <si>
    <t>https://www.ipa.fraunhofer.de/de/Publikationen/studien/studie-indWEDe.html</t>
  </si>
  <si>
    <t>HTEL - Sc</t>
  </si>
  <si>
    <t>Data retrieved from Subsections 8.5.1-8.5.4</t>
  </si>
  <si>
    <t>Life cycle assessment of an alkaline fuel cell CHP system</t>
  </si>
  <si>
    <t>Staffel_2010</t>
  </si>
  <si>
    <t>https://doi.org/10.1016/j.ijhydene.2009.12.135</t>
  </si>
  <si>
    <t>Data retrieved from Table 6 and Table 7</t>
  </si>
  <si>
    <t>Stack</t>
  </si>
  <si>
    <t>BoP</t>
  </si>
  <si>
    <t>KOH</t>
  </si>
  <si>
    <t>Data retrieved from Tabelle 3-35</t>
  </si>
  <si>
    <t>ZrO2</t>
  </si>
  <si>
    <t>Hydrogen Supply Chains for Mobility - Environmental and Economic Assessment</t>
  </si>
  <si>
    <t>Wulf_2018</t>
  </si>
  <si>
    <t>https://doi.org/10.3390/su10061699</t>
  </si>
  <si>
    <t>Data retrieved from Table A4</t>
  </si>
  <si>
    <t>Yttrium stabilized zirconium oxide</t>
  </si>
  <si>
    <t>Nickel oxide (NiO)</t>
  </si>
  <si>
    <t>Capacity</t>
  </si>
  <si>
    <t>Electricity</t>
  </si>
  <si>
    <t>kg/h</t>
  </si>
  <si>
    <t>kWh/kg</t>
  </si>
  <si>
    <t>KRESSE - Kritische mineralische Ressourcen und Stoffströme bei der Transformation des deutschen Energieversorgungssystems</t>
  </si>
  <si>
    <t>Wuppertal_2014</t>
  </si>
  <si>
    <t>https://epub.wupperinst.org/frontdoor/deliver/index/docId/5419/file/5419_KRESSE.pdf</t>
  </si>
  <si>
    <t>K</t>
  </si>
  <si>
    <t>Data retrieved from Table 5-6</t>
  </si>
  <si>
    <t>Xu_2010</t>
  </si>
  <si>
    <t>https://doi.org/10.1016/j.elecom.2011.02.014</t>
  </si>
  <si>
    <t>IrO2</t>
  </si>
  <si>
    <t>Datra retrieved from Subsection 2.1</t>
  </si>
  <si>
    <t>A novel catalyst layer with hydrophilic–hydrophobic meshwork and pore structurefor solid polymer electrolyte water electrolysis</t>
  </si>
  <si>
    <t>Xu_2011</t>
  </si>
  <si>
    <t>Data retrieved from Section 1</t>
  </si>
  <si>
    <t>Density</t>
  </si>
  <si>
    <t>kg/cm2</t>
  </si>
  <si>
    <t>Koj_2017</t>
  </si>
  <si>
    <t>Site-Dependent Environmental Impacts of Industrial Hydrogen Production by Alkaline Water Electrolysis</t>
  </si>
  <si>
    <t>https://doi.org/10.3390/en10070860</t>
  </si>
  <si>
    <t>Data retrieved from Table 1 and Table 3</t>
  </si>
  <si>
    <t>Zirconium oxide</t>
  </si>
  <si>
    <t>kg/cell</t>
  </si>
  <si>
    <t>Kiemel_2021</t>
  </si>
  <si>
    <t>Critical materials for water electrolysers at the example of the energy transition in Germany</t>
  </si>
  <si>
    <t>https://doi.org/10.1002/er.6487</t>
  </si>
  <si>
    <t>They use Marschmeide-Weidemann as a reference</t>
  </si>
  <si>
    <t>Data retrieved from subsections 4.4 and 4.5</t>
  </si>
  <si>
    <t>Giraldi_2015</t>
  </si>
  <si>
    <t>Life cycle assessment of hydrogen production from a high temperature electrolysis process coupled to a high temperature gas nuclear reactor</t>
  </si>
  <si>
    <t>https://doi.org/10.1016/j.ijhydene.2015.01.093</t>
  </si>
  <si>
    <t>Data retrieved from Table 3 and Table 4</t>
  </si>
  <si>
    <t>kg/m2 cell</t>
  </si>
  <si>
    <t>MnO3/Mn2O3 cathode</t>
  </si>
  <si>
    <t>ZrO2 anode</t>
  </si>
  <si>
    <t>Y2O3 anode</t>
  </si>
  <si>
    <t>NiO/Ni anode</t>
  </si>
  <si>
    <t>ZrO2 electrolyte</t>
  </si>
  <si>
    <t>Y2O3 electrolyte</t>
  </si>
  <si>
    <t>La cathode</t>
  </si>
  <si>
    <t>Sr cathode</t>
  </si>
  <si>
    <t>kg of pure  element/MW</t>
  </si>
  <si>
    <t>Domestic heat pumps: Life cycle environmental impacts and potential implications for the UK</t>
  </si>
  <si>
    <t>Greening_2012</t>
  </si>
  <si>
    <t>Saoud_2021</t>
  </si>
  <si>
    <t>Violante_2022</t>
  </si>
  <si>
    <t>Cradle-to-grave life cycle assessment of an air to water heat pump: Case study for the Lebanese context and comparison with solar and conventional electric water heaters for residential application</t>
  </si>
  <si>
    <t>https://doi.org/10.1016/j.jobe.2021.103253</t>
  </si>
  <si>
    <t>https://doi.org/10.1016/j.energy.2012.01.028</t>
  </si>
  <si>
    <t>Comparative life cycle assessment of the ground source heat pump vs air source heat pump</t>
  </si>
  <si>
    <t>https://doi.org/10.1016/j.renene.2022.02.075</t>
  </si>
  <si>
    <t>Low-alloyed steel</t>
  </si>
  <si>
    <t>Reinforcing steel</t>
  </si>
  <si>
    <t>Elastomere</t>
  </si>
  <si>
    <t>Polyolester oil</t>
  </si>
  <si>
    <t>HDPE</t>
  </si>
  <si>
    <t>R-134a</t>
  </si>
  <si>
    <t>Air-source heat pump</t>
  </si>
  <si>
    <t>Ground-source heat pump</t>
  </si>
  <si>
    <t>Water-source heat pump</t>
  </si>
  <si>
    <t>LDPE</t>
  </si>
  <si>
    <t>Polysterene</t>
  </si>
  <si>
    <t>Eyhylene glycol</t>
  </si>
  <si>
    <t>Brass</t>
  </si>
  <si>
    <t>Bentonite</t>
  </si>
  <si>
    <t>Cast iron</t>
  </si>
  <si>
    <t>kg/unit</t>
  </si>
  <si>
    <t>RESIDENTIAL</t>
  </si>
  <si>
    <t>https://doi.org/10.1016/S1361-9209(00)00030-4</t>
  </si>
  <si>
    <t>We are not enriching Redox-Flow inventories</t>
  </si>
  <si>
    <t>We take the average of the commercial examples</t>
  </si>
  <si>
    <t>Other (e.g. NiMH)</t>
  </si>
  <si>
    <t>LFP AVERAGE</t>
  </si>
  <si>
    <t>Outlier</t>
  </si>
  <si>
    <t>includes only the main structural materials used to create the fuel cells, does not supply information on the electrolytes or anodes</t>
  </si>
  <si>
    <t>Temporal outlier</t>
  </si>
  <si>
    <t>Wickerts_2023</t>
  </si>
  <si>
    <t>Prospective Life Cycle Assessment of Lithium-Sulfur Batteries for Stationary Energy Storage</t>
  </si>
  <si>
    <t>https://doi.org/10.1021/acssuschemeng.3c00141</t>
  </si>
  <si>
    <t>Kilograms of lithium carbonate per kilogram of LiTFSi</t>
  </si>
  <si>
    <t>kilograms of lithium per kilogram of LiTFSi</t>
  </si>
  <si>
    <t>kilograms of lithium carbonate per kilogram of LiNO3</t>
  </si>
  <si>
    <t>kilograms of lithium hydroxide per kilogram of LiNO3</t>
  </si>
  <si>
    <t>kilograms of lithium per kilogram of LiNO3</t>
  </si>
  <si>
    <t>Lithium in 1kg electrolyte</t>
  </si>
  <si>
    <t>Lithium in 1kg of battery cell</t>
  </si>
  <si>
    <t>Lithium [kg/kWh]</t>
  </si>
  <si>
    <t>% of total lithium in LiS battery</t>
  </si>
  <si>
    <t>Wang_2020</t>
  </si>
  <si>
    <t>Life cycle assessment of lithium oxygen battery for electric vehicles</t>
  </si>
  <si>
    <t>https://doi.org/10.1016/j.jclepro.2020.121339</t>
  </si>
  <si>
    <t>LiO2</t>
  </si>
  <si>
    <t>kilogram lithium metal per kilogram of cell</t>
  </si>
  <si>
    <t>kilogram of electrolyte per kilogram of cell</t>
  </si>
  <si>
    <t>kilogram of lithium per kilogram of lithium metal</t>
  </si>
  <si>
    <t>kilogram of lithium chloride per kilogram of electrolyte</t>
  </si>
  <si>
    <t>kilogram of lithium per kilogram of electrolyte</t>
  </si>
  <si>
    <t>kg lithium/kg battery cell</t>
  </si>
  <si>
    <t>Wh/kg</t>
  </si>
  <si>
    <t>Percentage of lithium coming from the lithium metal</t>
  </si>
  <si>
    <t>Percentage of lithium coming from the electrolyte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</si>
</sst>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0000000000"/>
    <numFmt numFmtId="165" formatCode="0.0000"/>
    <numFmt numFmtId="166" formatCode="0.0"/>
    <numFmt numFmtId="167" formatCode="0.000000"/>
  </numFmts>
  <fonts count="21" x14ac:knownFonts="1">
    <font>
      <sz val="11"/>
      <color theme="1"/>
      <name val="Calibri"/>
      <family val="2"/>
      <scheme val="minor"/>
    </font>
    <font>
      <sz val="11"/>
      <color theme="1"/>
      <name val="Calibri"/>
      <family val="2"/>
      <scheme val="minor"/>
    </font>
    <font>
      <b/>
      <sz val="11"/>
      <color theme="1"/>
      <name val="Calibri"/>
      <family val="2"/>
      <scheme val="minor"/>
    </font>
    <font>
      <u/>
      <sz val="10"/>
      <color rgb="FF0000FF"/>
      <name val="Arial"/>
      <family val="2"/>
    </font>
    <font>
      <sz val="10"/>
      <color theme="1"/>
      <name val="Arial"/>
      <family val="2"/>
    </font>
    <font>
      <u/>
      <sz val="11"/>
      <color theme="10"/>
      <name val="Calibri"/>
      <family val="2"/>
      <scheme val="minor"/>
    </font>
    <font>
      <sz val="11"/>
      <name val="Calibri"/>
      <family val="2"/>
      <scheme val="minor"/>
    </font>
    <font>
      <b/>
      <sz val="11"/>
      <name val="Calibri"/>
      <family val="2"/>
      <scheme val="minor"/>
    </font>
    <font>
      <b/>
      <u/>
      <sz val="11"/>
      <color theme="1"/>
      <name val="Calibri"/>
      <family val="2"/>
      <scheme val="minor"/>
    </font>
    <font>
      <u/>
      <sz val="11"/>
      <color theme="1"/>
      <name val="Calibri"/>
      <family val="2"/>
      <scheme val="minor"/>
    </font>
    <font>
      <b/>
      <sz val="12"/>
      <color theme="1"/>
      <name val="Calibri"/>
      <family val="2"/>
      <scheme val="minor"/>
    </font>
    <font>
      <i/>
      <sz val="11"/>
      <name val="Calibri"/>
      <family val="2"/>
      <scheme val="minor"/>
    </font>
    <font>
      <i/>
      <sz val="11"/>
      <color theme="1"/>
      <name val="Calibri"/>
      <family val="2"/>
      <scheme val="minor"/>
    </font>
    <font>
      <b/>
      <sz val="8"/>
      <color theme="1"/>
      <name val="Calibri"/>
      <family val="2"/>
      <scheme val="minor"/>
    </font>
    <font>
      <sz val="9"/>
      <color rgb="FF000000"/>
      <name val="Calibri"/>
      <family val="2"/>
      <scheme val="minor"/>
    </font>
    <font>
      <b/>
      <sz val="9"/>
      <color rgb="FF000000"/>
      <name val="Calibri"/>
      <family val="2"/>
      <scheme val="minor"/>
    </font>
    <font>
      <b/>
      <sz val="11"/>
      <color theme="1"/>
      <name val="Times New Roman"/>
      <family val="1"/>
    </font>
    <font>
      <sz val="11"/>
      <color theme="1"/>
      <name val="Times New Roman"/>
      <family val="1"/>
    </font>
    <font>
      <vertAlign val="subscript"/>
      <sz val="11"/>
      <color theme="1"/>
      <name val="Times New Roman"/>
      <family val="1"/>
    </font>
    <font>
      <sz val="11"/>
      <color rgb="FF0000FF"/>
      <name val="Times New Roman"/>
      <family val="1"/>
    </font>
    <font>
      <sz val="7.5"/>
      <color rgb="FF0000FF"/>
      <name val="Arial"/>
      <family val="2"/>
    </font>
  </fonts>
  <fills count="13">
    <fill>
      <patternFill patternType="none"/>
    </fill>
    <fill>
      <patternFill patternType="gray125"/>
    </fill>
    <fill>
      <patternFill patternType="solid">
        <fgColor theme="4" tint="0.59999389629810485"/>
        <bgColor indexed="65"/>
      </patternFill>
    </fill>
    <fill>
      <patternFill patternType="solid">
        <fgColor theme="4" tint="0.39997558519241921"/>
        <bgColor indexed="64"/>
      </patternFill>
    </fill>
    <fill>
      <patternFill patternType="solid">
        <fgColor theme="9" tint="0.59999389629810485"/>
        <bgColor indexed="64"/>
      </patternFill>
    </fill>
    <fill>
      <patternFill patternType="solid">
        <fgColor rgb="FFC00000"/>
        <bgColor indexed="64"/>
      </patternFill>
    </fill>
    <fill>
      <patternFill patternType="solid">
        <fgColor rgb="FFCC0000"/>
        <bgColor indexed="64"/>
      </patternFill>
    </fill>
    <fill>
      <patternFill patternType="solid">
        <fgColor theme="4" tint="0.59999389629810485"/>
        <bgColor indexed="64"/>
      </patternFill>
    </fill>
    <fill>
      <patternFill patternType="solid">
        <fgColor rgb="FFFFFF00"/>
        <bgColor indexed="64"/>
      </patternFill>
    </fill>
    <fill>
      <patternFill patternType="solid">
        <fgColor theme="0" tint="-4.9989318521683403E-2"/>
        <bgColor indexed="64"/>
      </patternFill>
    </fill>
    <fill>
      <patternFill patternType="solid">
        <fgColor rgb="FFFFC000"/>
        <bgColor indexed="64"/>
      </patternFill>
    </fill>
    <fill>
      <patternFill patternType="solid">
        <fgColor theme="5" tint="0.39997558519241921"/>
        <bgColor indexed="64"/>
      </patternFill>
    </fill>
    <fill>
      <patternFill patternType="solid">
        <fgColor theme="8" tint="0.59999389629810485"/>
        <bgColor indexed="64"/>
      </patternFill>
    </fill>
  </fills>
  <borders count="23">
    <border>
      <left/>
      <right/>
      <top/>
      <bottom/>
      <diagonal/>
    </border>
    <border>
      <left style="thin">
        <color indexed="64"/>
      </left>
      <right/>
      <top style="thin">
        <color indexed="64"/>
      </top>
      <bottom/>
      <diagonal/>
    </border>
    <border>
      <left/>
      <right style="thin">
        <color indexed="64"/>
      </right>
      <top style="thin">
        <color indexed="64"/>
      </top>
      <bottom/>
      <diagonal/>
    </border>
    <border>
      <left/>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top style="medium">
        <color indexed="64"/>
      </top>
      <bottom/>
      <diagonal/>
    </border>
    <border>
      <left/>
      <right/>
      <top/>
      <bottom style="medium">
        <color indexed="64"/>
      </bottom>
      <diagonal/>
    </border>
    <border>
      <left style="thin">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style="thin">
        <color indexed="64"/>
      </right>
      <top/>
      <bottom/>
      <diagonal/>
    </border>
  </borders>
  <cellStyleXfs count="4">
    <xf numFmtId="0" fontId="0" fillId="0" borderId="0"/>
    <xf numFmtId="0" fontId="1" fillId="2" borderId="0" applyNumberFormat="0" applyBorder="0" applyAlignment="0" applyProtection="0"/>
    <xf numFmtId="0" fontId="5" fillId="0" borderId="0" applyNumberFormat="0" applyFill="0" applyBorder="0" applyAlignment="0" applyProtection="0"/>
    <xf numFmtId="9" fontId="1" fillId="0" borderId="0" applyFont="0" applyFill="0" applyBorder="0" applyAlignment="0" applyProtection="0"/>
  </cellStyleXfs>
  <cellXfs count="230">
    <xf numFmtId="0" fontId="0" fillId="0" borderId="0" xfId="0"/>
    <xf numFmtId="0" fontId="3" fillId="0" borderId="0" xfId="0" applyFont="1" applyAlignment="1"/>
    <xf numFmtId="0" fontId="0" fillId="0" borderId="0" xfId="0" applyFont="1" applyAlignment="1"/>
    <xf numFmtId="0" fontId="4" fillId="0" borderId="0" xfId="0" applyFont="1" applyAlignment="1"/>
    <xf numFmtId="0" fontId="0" fillId="3" borderId="0" xfId="0" applyFill="1"/>
    <xf numFmtId="0" fontId="0" fillId="4" borderId="0" xfId="0" applyFill="1"/>
    <xf numFmtId="0" fontId="0" fillId="5" borderId="0" xfId="0" applyFill="1"/>
    <xf numFmtId="0" fontId="0" fillId="6" borderId="0" xfId="0" applyFill="1"/>
    <xf numFmtId="0" fontId="0" fillId="0" borderId="0" xfId="0" applyAlignment="1">
      <alignment wrapText="1"/>
    </xf>
    <xf numFmtId="0" fontId="0" fillId="0" borderId="0" xfId="0" applyAlignment="1"/>
    <xf numFmtId="0" fontId="0" fillId="7" borderId="0" xfId="0" applyFill="1"/>
    <xf numFmtId="0" fontId="0" fillId="3" borderId="0" xfId="0" applyFill="1" applyAlignment="1"/>
    <xf numFmtId="0" fontId="5" fillId="0" borderId="0" xfId="2" applyAlignment="1"/>
    <xf numFmtId="11" fontId="0" fillId="0" borderId="0" xfId="0" applyNumberFormat="1"/>
    <xf numFmtId="0" fontId="2" fillId="0" borderId="0" xfId="0" applyFont="1" applyAlignment="1"/>
    <xf numFmtId="0" fontId="2" fillId="0" borderId="0" xfId="0" applyFont="1"/>
    <xf numFmtId="11" fontId="2" fillId="0" borderId="0" xfId="0" applyNumberFormat="1" applyFont="1"/>
    <xf numFmtId="11" fontId="2" fillId="7" borderId="0" xfId="0" applyNumberFormat="1" applyFont="1" applyFill="1"/>
    <xf numFmtId="0" fontId="5" fillId="0" borderId="0" xfId="2"/>
    <xf numFmtId="10" fontId="0" fillId="0" borderId="0" xfId="0" applyNumberFormat="1"/>
    <xf numFmtId="2" fontId="0" fillId="0" borderId="0" xfId="0" applyNumberFormat="1"/>
    <xf numFmtId="0" fontId="0" fillId="0" borderId="0" xfId="0" applyAlignment="1">
      <alignment vertical="center" wrapText="1"/>
    </xf>
    <xf numFmtId="0" fontId="2" fillId="0" borderId="0" xfId="0" applyFont="1" applyAlignment="1">
      <alignment vertical="center" wrapText="1"/>
    </xf>
    <xf numFmtId="0" fontId="2" fillId="0" borderId="0" xfId="0" applyFont="1" applyAlignment="1">
      <alignment wrapText="1"/>
    </xf>
    <xf numFmtId="0" fontId="0" fillId="0" borderId="0" xfId="0" applyFont="1"/>
    <xf numFmtId="0" fontId="2" fillId="8" borderId="0" xfId="0" applyFont="1" applyFill="1" applyAlignment="1">
      <alignment vertical="center" wrapText="1"/>
    </xf>
    <xf numFmtId="0" fontId="0" fillId="8" borderId="0" xfId="0" applyFill="1"/>
    <xf numFmtId="0" fontId="6" fillId="5" borderId="0" xfId="0" applyFont="1" applyFill="1"/>
    <xf numFmtId="0" fontId="6" fillId="5" borderId="0" xfId="0" applyFont="1" applyFill="1" applyAlignment="1"/>
    <xf numFmtId="0" fontId="0" fillId="4" borderId="0" xfId="0" applyFill="1" applyAlignment="1"/>
    <xf numFmtId="0" fontId="0" fillId="5" borderId="0" xfId="0" applyFill="1" applyAlignment="1"/>
    <xf numFmtId="11" fontId="7" fillId="9" borderId="0" xfId="0" applyNumberFormat="1" applyFont="1" applyFill="1"/>
    <xf numFmtId="164" fontId="0" fillId="0" borderId="0" xfId="0" applyNumberFormat="1"/>
    <xf numFmtId="2" fontId="2" fillId="0" borderId="0" xfId="0" applyNumberFormat="1" applyFont="1"/>
    <xf numFmtId="0" fontId="8" fillId="0" borderId="0" xfId="0" applyNumberFormat="1" applyFont="1" applyAlignment="1">
      <alignment horizontal="left" vertical="top" wrapText="1"/>
    </xf>
    <xf numFmtId="0" fontId="9" fillId="0" borderId="0" xfId="0" applyNumberFormat="1" applyFont="1" applyAlignment="1">
      <alignment horizontal="left" vertical="top" wrapText="1"/>
    </xf>
    <xf numFmtId="0" fontId="0" fillId="0" borderId="0" xfId="0" applyNumberFormat="1" applyFont="1" applyAlignment="1">
      <alignment horizontal="left" vertical="top" wrapText="1"/>
    </xf>
    <xf numFmtId="165" fontId="0" fillId="0" borderId="0" xfId="0" applyNumberFormat="1" applyFont="1"/>
    <xf numFmtId="0" fontId="0" fillId="0" borderId="0" xfId="0" applyFont="1" applyBorder="1"/>
    <xf numFmtId="0" fontId="2" fillId="0" borderId="0" xfId="0" applyFont="1" applyBorder="1" applyAlignment="1">
      <alignment horizontal="center" vertical="center"/>
    </xf>
    <xf numFmtId="0" fontId="0" fillId="0" borderId="0" xfId="0" applyFont="1" applyBorder="1" applyAlignment="1">
      <alignment horizontal="left" vertical="top" wrapText="1"/>
    </xf>
    <xf numFmtId="0" fontId="10" fillId="0" borderId="0" xfId="0" applyNumberFormat="1" applyFont="1" applyFill="1" applyAlignment="1">
      <alignment vertical="top" wrapText="1"/>
    </xf>
    <xf numFmtId="0" fontId="8" fillId="0" borderId="0" xfId="0" applyFont="1" applyBorder="1"/>
    <xf numFmtId="0" fontId="0" fillId="0" borderId="4" xfId="0" applyFont="1" applyBorder="1" applyAlignment="1">
      <alignment horizontal="left" vertical="top" wrapText="1"/>
    </xf>
    <xf numFmtId="0" fontId="0" fillId="10" borderId="4" xfId="0" applyFont="1" applyFill="1" applyBorder="1"/>
    <xf numFmtId="0" fontId="0" fillId="10" borderId="4" xfId="0" applyFont="1" applyFill="1" applyBorder="1" applyAlignment="1">
      <alignment horizontal="center"/>
    </xf>
    <xf numFmtId="2" fontId="0" fillId="10" borderId="4" xfId="0" applyNumberFormat="1" applyFont="1" applyFill="1" applyBorder="1" applyAlignment="1">
      <alignment horizontal="center"/>
    </xf>
    <xf numFmtId="1" fontId="0" fillId="10" borderId="4" xfId="0" applyNumberFormat="1" applyFont="1" applyFill="1" applyBorder="1" applyAlignment="1">
      <alignment horizontal="center"/>
    </xf>
    <xf numFmtId="0" fontId="0" fillId="10" borderId="6" xfId="0" applyFont="1" applyFill="1" applyBorder="1"/>
    <xf numFmtId="0" fontId="0" fillId="0" borderId="0" xfId="0" applyAlignment="1">
      <alignment vertical="center"/>
    </xf>
    <xf numFmtId="166" fontId="0" fillId="0" borderId="0" xfId="0" applyNumberFormat="1"/>
    <xf numFmtId="9" fontId="0" fillId="0" borderId="0" xfId="3" applyFont="1"/>
    <xf numFmtId="0" fontId="0" fillId="7" borderId="0" xfId="0" applyFill="1" applyAlignment="1"/>
    <xf numFmtId="11" fontId="0" fillId="0" borderId="0" xfId="0" applyNumberFormat="1" applyFont="1"/>
    <xf numFmtId="0" fontId="2" fillId="8" borderId="0" xfId="0" applyFont="1" applyFill="1"/>
    <xf numFmtId="0" fontId="0" fillId="11" borderId="0" xfId="0" applyFill="1"/>
    <xf numFmtId="0" fontId="0" fillId="11" borderId="0" xfId="0" applyFill="1" applyAlignment="1"/>
    <xf numFmtId="11" fontId="2" fillId="0" borderId="0" xfId="0" applyNumberFormat="1" applyFont="1" applyFill="1"/>
    <xf numFmtId="0" fontId="0" fillId="0" borderId="4" xfId="0" applyBorder="1" applyAlignment="1">
      <alignment vertical="center" wrapText="1"/>
    </xf>
    <xf numFmtId="0" fontId="0" fillId="0" borderId="4" xfId="0" applyBorder="1" applyAlignment="1">
      <alignment vertical="center" textRotation="90" wrapText="1"/>
    </xf>
    <xf numFmtId="0" fontId="0" fillId="0" borderId="4" xfId="0" applyBorder="1" applyAlignment="1">
      <alignment vertical="center"/>
    </xf>
    <xf numFmtId="0" fontId="2" fillId="0" borderId="4" xfId="0" applyFont="1" applyBorder="1" applyAlignment="1">
      <alignment vertical="center" wrapText="1"/>
    </xf>
    <xf numFmtId="0" fontId="2" fillId="8" borderId="4" xfId="0" applyFont="1" applyFill="1" applyBorder="1" applyAlignment="1">
      <alignment vertical="center" wrapText="1"/>
    </xf>
    <xf numFmtId="0" fontId="1" fillId="5" borderId="0" xfId="1" applyFill="1" applyAlignment="1"/>
    <xf numFmtId="0" fontId="0" fillId="5" borderId="0" xfId="1" applyFont="1" applyFill="1" applyAlignment="1"/>
    <xf numFmtId="0" fontId="0" fillId="12" borderId="0" xfId="0" applyFill="1"/>
    <xf numFmtId="0" fontId="0" fillId="12" borderId="0" xfId="0" applyFill="1" applyAlignment="1"/>
    <xf numFmtId="0" fontId="2" fillId="0" borderId="7" xfId="0" applyFont="1" applyBorder="1"/>
    <xf numFmtId="0" fontId="2" fillId="0" borderId="10" xfId="0" applyFont="1" applyBorder="1"/>
    <xf numFmtId="0" fontId="7" fillId="8" borderId="0" xfId="0" applyFont="1" applyFill="1"/>
    <xf numFmtId="0" fontId="0" fillId="4" borderId="0" xfId="1" applyFont="1" applyFill="1" applyAlignment="1"/>
    <xf numFmtId="0" fontId="1" fillId="4" borderId="0" xfId="1" applyFill="1" applyAlignment="1"/>
    <xf numFmtId="0" fontId="13" fillId="0" borderId="14" xfId="0" applyFont="1" applyBorder="1" applyAlignment="1">
      <alignment horizontal="center" vertical="center"/>
    </xf>
    <xf numFmtId="0" fontId="13" fillId="0" borderId="15" xfId="0" applyFont="1" applyBorder="1" applyAlignment="1">
      <alignment horizontal="center" vertical="center"/>
    </xf>
    <xf numFmtId="0" fontId="14" fillId="0" borderId="0" xfId="0" applyFont="1" applyAlignment="1">
      <alignment vertical="center"/>
    </xf>
    <xf numFmtId="0" fontId="14" fillId="0" borderId="0" xfId="0" applyFont="1" applyAlignment="1">
      <alignment horizontal="center" vertical="center"/>
    </xf>
    <xf numFmtId="0" fontId="14" fillId="0" borderId="15" xfId="0" applyFont="1" applyBorder="1" applyAlignment="1">
      <alignment vertical="center"/>
    </xf>
    <xf numFmtId="0" fontId="14" fillId="0" borderId="15" xfId="0" applyFont="1" applyBorder="1" applyAlignment="1">
      <alignment horizontal="center" vertical="center"/>
    </xf>
    <xf numFmtId="0" fontId="14" fillId="8" borderId="0" xfId="0" applyFont="1" applyFill="1" applyBorder="1" applyAlignment="1">
      <alignment vertical="center"/>
    </xf>
    <xf numFmtId="0" fontId="0" fillId="5" borderId="0" xfId="0" applyFill="1" applyBorder="1" applyAlignment="1">
      <alignment horizontal="left" vertical="center"/>
    </xf>
    <xf numFmtId="0" fontId="2" fillId="0" borderId="0" xfId="0" applyFont="1" applyFill="1" applyBorder="1" applyAlignment="1"/>
    <xf numFmtId="17" fontId="2" fillId="0" borderId="0" xfId="0" applyNumberFormat="1" applyFont="1" applyFill="1" applyBorder="1" applyAlignment="1"/>
    <xf numFmtId="0" fontId="2" fillId="0" borderId="0" xfId="0" applyNumberFormat="1" applyFont="1" applyFill="1" applyBorder="1" applyAlignment="1"/>
    <xf numFmtId="49" fontId="2" fillId="0" borderId="0" xfId="0" applyNumberFormat="1" applyFont="1" applyFill="1" applyBorder="1" applyAlignment="1"/>
    <xf numFmtId="0" fontId="15" fillId="8" borderId="0" xfId="0" applyFont="1" applyFill="1" applyBorder="1" applyAlignment="1">
      <alignment vertical="center"/>
    </xf>
    <xf numFmtId="0" fontId="15" fillId="0" borderId="0" xfId="0" applyFont="1" applyAlignment="1">
      <alignment vertical="center"/>
    </xf>
    <xf numFmtId="0" fontId="15" fillId="0" borderId="0" xfId="0" applyFont="1" applyAlignment="1">
      <alignment horizontal="center" vertical="center"/>
    </xf>
    <xf numFmtId="0" fontId="15" fillId="0" borderId="15" xfId="0" applyFont="1" applyBorder="1" applyAlignment="1">
      <alignment vertical="center"/>
    </xf>
    <xf numFmtId="49" fontId="0" fillId="5" borderId="0" xfId="0" applyNumberFormat="1" applyFont="1" applyFill="1" applyBorder="1" applyAlignment="1"/>
    <xf numFmtId="0" fontId="0" fillId="4" borderId="0" xfId="0" applyFont="1" applyFill="1"/>
    <xf numFmtId="0" fontId="0" fillId="4" borderId="16" xfId="0" applyFill="1" applyBorder="1" applyAlignment="1">
      <alignment horizontal="left"/>
    </xf>
    <xf numFmtId="0" fontId="0" fillId="5" borderId="16" xfId="0" applyFill="1" applyBorder="1" applyAlignment="1">
      <alignment horizontal="left"/>
    </xf>
    <xf numFmtId="0" fontId="0" fillId="5" borderId="0" xfId="0" applyFont="1" applyFill="1" applyBorder="1" applyAlignment="1"/>
    <xf numFmtId="0" fontId="0" fillId="0" borderId="7" xfId="0" applyBorder="1"/>
    <xf numFmtId="0" fontId="2" fillId="8" borderId="7" xfId="0" applyFont="1" applyFill="1" applyBorder="1"/>
    <xf numFmtId="0" fontId="0" fillId="0" borderId="0" xfId="0" applyFill="1" applyBorder="1"/>
    <xf numFmtId="0" fontId="0" fillId="5" borderId="0" xfId="0" applyFill="1" applyBorder="1"/>
    <xf numFmtId="0" fontId="17" fillId="0" borderId="20" xfId="0" applyFont="1" applyBorder="1" applyAlignment="1">
      <alignment vertical="center" wrapText="1"/>
    </xf>
    <xf numFmtId="0" fontId="17" fillId="0" borderId="21" xfId="0" applyFont="1" applyBorder="1" applyAlignment="1">
      <alignment horizontal="center" vertical="center" wrapText="1"/>
    </xf>
    <xf numFmtId="0" fontId="17" fillId="0" borderId="0" xfId="0" applyFont="1" applyFill="1" applyBorder="1" applyAlignment="1">
      <alignment vertical="center" wrapText="1"/>
    </xf>
    <xf numFmtId="0" fontId="17" fillId="0" borderId="7" xfId="0" applyFont="1" applyFill="1" applyBorder="1" applyAlignment="1">
      <alignment vertical="center" wrapText="1"/>
    </xf>
    <xf numFmtId="0" fontId="0" fillId="0" borderId="7" xfId="0" applyFill="1" applyBorder="1"/>
    <xf numFmtId="11" fontId="0" fillId="0" borderId="7" xfId="0" applyNumberFormat="1" applyBorder="1"/>
    <xf numFmtId="0" fontId="0" fillId="4" borderId="0" xfId="0" applyFill="1" applyBorder="1" applyAlignment="1">
      <alignment horizontal="left" vertical="center"/>
    </xf>
    <xf numFmtId="0" fontId="0" fillId="4" borderId="0" xfId="0" applyFill="1" applyBorder="1"/>
    <xf numFmtId="10" fontId="0" fillId="0" borderId="0" xfId="3" applyNumberFormat="1" applyFont="1"/>
    <xf numFmtId="10" fontId="0" fillId="0" borderId="7" xfId="0" applyNumberFormat="1" applyBorder="1"/>
    <xf numFmtId="2" fontId="2" fillId="0" borderId="7" xfId="0" applyNumberFormat="1" applyFont="1" applyBorder="1"/>
    <xf numFmtId="0" fontId="6" fillId="4" borderId="0" xfId="0" applyFont="1" applyFill="1"/>
    <xf numFmtId="0" fontId="0" fillId="0" borderId="1" xfId="0" applyBorder="1"/>
    <xf numFmtId="0" fontId="0" fillId="0" borderId="3" xfId="0" applyBorder="1"/>
    <xf numFmtId="0" fontId="0" fillId="0" borderId="2" xfId="0" applyBorder="1"/>
    <xf numFmtId="0" fontId="0" fillId="0" borderId="16" xfId="0" applyBorder="1"/>
    <xf numFmtId="0" fontId="0" fillId="0" borderId="0" xfId="0" applyBorder="1"/>
    <xf numFmtId="0" fontId="0" fillId="0" borderId="22" xfId="0" applyBorder="1"/>
    <xf numFmtId="0" fontId="0" fillId="0" borderId="5" xfId="0" applyBorder="1"/>
    <xf numFmtId="0" fontId="0" fillId="0" borderId="6" xfId="0" applyBorder="1"/>
    <xf numFmtId="0" fontId="0" fillId="0" borderId="9" xfId="0" applyBorder="1"/>
    <xf numFmtId="0" fontId="0" fillId="0" borderId="10" xfId="0" applyBorder="1"/>
    <xf numFmtId="0" fontId="0" fillId="0" borderId="11" xfId="0" applyBorder="1"/>
    <xf numFmtId="167" fontId="0" fillId="0" borderId="0" xfId="0" applyNumberFormat="1"/>
    <xf numFmtId="0" fontId="5" fillId="0" borderId="0" xfId="2" applyAlignment="1">
      <alignment vertical="center"/>
    </xf>
    <xf numFmtId="0" fontId="20" fillId="0" borderId="0" xfId="0" applyFont="1" applyAlignment="1">
      <alignment vertical="center"/>
    </xf>
    <xf numFmtId="0" fontId="5" fillId="4" borderId="0" xfId="2" applyFill="1" applyAlignment="1">
      <alignment vertical="center"/>
    </xf>
    <xf numFmtId="0" fontId="20" fillId="4" borderId="0" xfId="0" applyFont="1" applyFill="1" applyAlignment="1">
      <alignment vertical="center"/>
    </xf>
    <xf numFmtId="11" fontId="2" fillId="0" borderId="7" xfId="0" applyNumberFormat="1" applyFont="1" applyBorder="1"/>
    <xf numFmtId="11" fontId="2" fillId="0" borderId="0" xfId="0" applyNumberFormat="1" applyFont="1" applyFill="1" applyBorder="1"/>
    <xf numFmtId="11" fontId="2" fillId="0" borderId="7" xfId="0" applyNumberFormat="1" applyFont="1" applyFill="1" applyBorder="1"/>
    <xf numFmtId="0" fontId="2" fillId="0" borderId="0" xfId="0" applyFont="1" applyFill="1" applyBorder="1"/>
    <xf numFmtId="0" fontId="0" fillId="5" borderId="7" xfId="0" applyFill="1" applyBorder="1"/>
    <xf numFmtId="0" fontId="0" fillId="0" borderId="7" xfId="0" applyFont="1" applyBorder="1"/>
    <xf numFmtId="2" fontId="0" fillId="0" borderId="0" xfId="0" applyNumberFormat="1" applyFont="1"/>
    <xf numFmtId="2" fontId="0" fillId="0" borderId="7" xfId="0" applyNumberFormat="1" applyFont="1" applyBorder="1"/>
    <xf numFmtId="2" fontId="0" fillId="5" borderId="0" xfId="0" applyNumberFormat="1" applyFont="1" applyFill="1"/>
    <xf numFmtId="0" fontId="0" fillId="5" borderId="0" xfId="0" applyFont="1" applyFill="1"/>
    <xf numFmtId="2" fontId="0" fillId="5" borderId="7" xfId="0" applyNumberFormat="1" applyFont="1" applyFill="1" applyBorder="1"/>
    <xf numFmtId="0" fontId="0" fillId="5" borderId="7" xfId="0" applyFont="1" applyFill="1" applyBorder="1"/>
    <xf numFmtId="0" fontId="0" fillId="0" borderId="4" xfId="0" applyBorder="1" applyAlignment="1">
      <alignment horizontal="center" vertical="center" textRotation="90" wrapText="1"/>
    </xf>
    <xf numFmtId="0" fontId="0" fillId="0" borderId="4" xfId="0" applyBorder="1" applyAlignment="1">
      <alignment horizontal="center" vertical="center" wrapText="1"/>
    </xf>
    <xf numFmtId="0" fontId="0" fillId="0" borderId="8" xfId="0" applyBorder="1" applyAlignment="1">
      <alignment horizontal="center" vertical="center" textRotation="90" wrapText="1"/>
    </xf>
    <xf numFmtId="0" fontId="0" fillId="0" borderId="13" xfId="0" applyBorder="1" applyAlignment="1">
      <alignment horizontal="center" vertical="center" textRotation="90" wrapText="1"/>
    </xf>
    <xf numFmtId="0" fontId="0" fillId="0" borderId="12" xfId="0" applyBorder="1" applyAlignment="1">
      <alignment horizontal="center" vertical="center" textRotation="90" wrapText="1"/>
    </xf>
    <xf numFmtId="0" fontId="0" fillId="10" borderId="9" xfId="0" applyFont="1" applyFill="1" applyBorder="1" applyAlignment="1"/>
    <xf numFmtId="0" fontId="0" fillId="10" borderId="11" xfId="0" applyFont="1" applyFill="1" applyBorder="1" applyAlignment="1"/>
    <xf numFmtId="0" fontId="0" fillId="10" borderId="9" xfId="0" applyFont="1" applyFill="1" applyBorder="1"/>
    <xf numFmtId="0" fontId="0" fillId="10" borderId="10" xfId="0" applyFont="1" applyFill="1" applyBorder="1"/>
    <xf numFmtId="0" fontId="0" fillId="10" borderId="11" xfId="0" applyFont="1" applyFill="1" applyBorder="1"/>
    <xf numFmtId="0" fontId="6" fillId="10" borderId="9" xfId="0" applyFont="1" applyFill="1" applyBorder="1"/>
    <xf numFmtId="0" fontId="6" fillId="10" borderId="10" xfId="0" applyFont="1" applyFill="1" applyBorder="1"/>
    <xf numFmtId="0" fontId="6" fillId="10" borderId="11" xfId="0" applyFont="1" applyFill="1" applyBorder="1"/>
    <xf numFmtId="0" fontId="0" fillId="0" borderId="0" xfId="0" applyAlignment="1">
      <alignment horizontal="center"/>
    </xf>
    <xf numFmtId="0" fontId="2" fillId="8" borderId="0" xfId="0" applyFont="1" applyFill="1" applyAlignment="1">
      <alignment horizontal="center"/>
    </xf>
    <xf numFmtId="0" fontId="0" fillId="10" borderId="9" xfId="0" applyFont="1" applyFill="1" applyBorder="1" applyAlignment="1">
      <alignment horizontal="left"/>
    </xf>
    <xf numFmtId="0" fontId="0" fillId="10" borderId="10" xfId="0" applyFont="1" applyFill="1" applyBorder="1" applyAlignment="1">
      <alignment horizontal="left"/>
    </xf>
    <xf numFmtId="0" fontId="0" fillId="10" borderId="11" xfId="0" applyFont="1" applyFill="1" applyBorder="1" applyAlignment="1">
      <alignment horizontal="left"/>
    </xf>
    <xf numFmtId="0" fontId="12" fillId="10" borderId="9" xfId="0" applyFont="1" applyFill="1" applyBorder="1"/>
    <xf numFmtId="0" fontId="12" fillId="10" borderId="10" xfId="0" applyFont="1" applyFill="1" applyBorder="1"/>
    <xf numFmtId="0" fontId="12" fillId="10" borderId="11" xfId="0" applyFont="1" applyFill="1" applyBorder="1"/>
    <xf numFmtId="1" fontId="0" fillId="10" borderId="9" xfId="0" applyNumberFormat="1" applyFont="1" applyFill="1" applyBorder="1" applyAlignment="1">
      <alignment horizontal="left"/>
    </xf>
    <xf numFmtId="1" fontId="0" fillId="10" borderId="10" xfId="0" applyNumberFormat="1" applyFont="1" applyFill="1" applyBorder="1" applyAlignment="1">
      <alignment horizontal="left"/>
    </xf>
    <xf numFmtId="1" fontId="0" fillId="10" borderId="11" xfId="0" applyNumberFormat="1" applyFont="1" applyFill="1" applyBorder="1" applyAlignment="1">
      <alignment horizontal="left"/>
    </xf>
    <xf numFmtId="0" fontId="11" fillId="10" borderId="9" xfId="0" applyFont="1" applyFill="1" applyBorder="1"/>
    <xf numFmtId="0" fontId="11" fillId="10" borderId="10" xfId="0" applyFont="1" applyFill="1" applyBorder="1"/>
    <xf numFmtId="0" fontId="11" fillId="10" borderId="11" xfId="0" applyFont="1" applyFill="1" applyBorder="1"/>
    <xf numFmtId="0" fontId="2" fillId="0" borderId="1" xfId="0" applyNumberFormat="1" applyFont="1" applyBorder="1" applyAlignment="1">
      <alignment horizontal="center" vertical="top" wrapText="1"/>
    </xf>
    <xf numFmtId="0" fontId="2" fillId="0" borderId="2" xfId="0" applyNumberFormat="1" applyFont="1" applyBorder="1" applyAlignment="1">
      <alignment horizontal="center" vertical="top" wrapText="1"/>
    </xf>
    <xf numFmtId="0" fontId="2" fillId="0" borderId="5" xfId="0" applyNumberFormat="1" applyFont="1" applyBorder="1" applyAlignment="1">
      <alignment horizontal="center" vertical="top" wrapText="1"/>
    </xf>
    <xf numFmtId="0" fontId="2" fillId="0" borderId="6" xfId="0" applyNumberFormat="1" applyFont="1" applyBorder="1" applyAlignment="1">
      <alignment horizontal="center" vertical="top" wrapText="1"/>
    </xf>
    <xf numFmtId="0" fontId="2" fillId="0" borderId="4" xfId="0" applyNumberFormat="1" applyFont="1" applyBorder="1" applyAlignment="1">
      <alignment horizontal="center" vertical="center" wrapText="1"/>
    </xf>
    <xf numFmtId="0" fontId="2" fillId="0" borderId="4" xfId="0" applyNumberFormat="1" applyFont="1" applyBorder="1" applyAlignment="1">
      <alignment horizontal="center" vertical="center"/>
    </xf>
    <xf numFmtId="1" fontId="2" fillId="0" borderId="4" xfId="0" applyNumberFormat="1" applyFont="1" applyBorder="1" applyAlignment="1">
      <alignment horizontal="center" vertical="center"/>
    </xf>
    <xf numFmtId="1" fontId="2" fillId="0" borderId="1" xfId="0" applyNumberFormat="1" applyFont="1" applyBorder="1" applyAlignment="1">
      <alignment horizontal="center" vertical="center"/>
    </xf>
    <xf numFmtId="1" fontId="2" fillId="0" borderId="3" xfId="0" applyNumberFormat="1" applyFont="1" applyBorder="1" applyAlignment="1">
      <alignment horizontal="center" vertical="center"/>
    </xf>
    <xf numFmtId="1" fontId="2" fillId="0" borderId="2" xfId="0" applyNumberFormat="1" applyFont="1" applyBorder="1" applyAlignment="1">
      <alignment horizontal="center" vertical="center"/>
    </xf>
    <xf numFmtId="1" fontId="2" fillId="0" borderId="5" xfId="0" applyNumberFormat="1" applyFont="1" applyBorder="1" applyAlignment="1">
      <alignment horizontal="center" vertical="center"/>
    </xf>
    <xf numFmtId="1" fontId="2" fillId="0" borderId="7" xfId="0" applyNumberFormat="1" applyFont="1" applyBorder="1" applyAlignment="1">
      <alignment horizontal="center" vertical="center"/>
    </xf>
    <xf numFmtId="1" fontId="2" fillId="0" borderId="6" xfId="0" applyNumberFormat="1" applyFont="1" applyBorder="1" applyAlignment="1">
      <alignment horizontal="center" vertical="center"/>
    </xf>
    <xf numFmtId="1" fontId="2" fillId="0" borderId="4" xfId="0" applyNumberFormat="1" applyFont="1" applyFill="1" applyBorder="1" applyAlignment="1">
      <alignment horizontal="center" vertical="center"/>
    </xf>
    <xf numFmtId="0" fontId="2" fillId="0" borderId="4" xfId="0" applyFont="1" applyBorder="1" applyAlignment="1">
      <alignment horizontal="center" vertical="center"/>
    </xf>
    <xf numFmtId="0" fontId="2" fillId="0" borderId="1" xfId="0" applyFont="1" applyBorder="1" applyAlignment="1">
      <alignment horizontal="center" vertical="center"/>
    </xf>
    <xf numFmtId="0" fontId="2" fillId="0" borderId="3" xfId="0" applyFont="1" applyBorder="1" applyAlignment="1">
      <alignment horizontal="center" vertical="center"/>
    </xf>
    <xf numFmtId="0" fontId="2" fillId="0" borderId="2" xfId="0" applyFont="1" applyBorder="1" applyAlignment="1">
      <alignment horizontal="center" vertical="center"/>
    </xf>
    <xf numFmtId="0" fontId="2" fillId="0" borderId="5" xfId="0" applyFont="1" applyBorder="1" applyAlignment="1">
      <alignment horizontal="center" vertical="center"/>
    </xf>
    <xf numFmtId="0" fontId="2" fillId="0" borderId="7" xfId="0" applyFont="1" applyBorder="1" applyAlignment="1">
      <alignment horizontal="center" vertical="center"/>
    </xf>
    <xf numFmtId="0" fontId="2" fillId="0" borderId="6" xfId="0" applyFont="1" applyBorder="1" applyAlignment="1">
      <alignment horizontal="center" vertical="center"/>
    </xf>
    <xf numFmtId="166" fontId="2" fillId="0" borderId="4" xfId="0" applyNumberFormat="1" applyFont="1" applyBorder="1" applyAlignment="1">
      <alignment horizontal="center" vertical="center" wrapText="1"/>
    </xf>
    <xf numFmtId="0" fontId="8" fillId="0" borderId="0" xfId="0" applyNumberFormat="1" applyFont="1" applyAlignment="1">
      <alignment horizontal="left" vertical="top" wrapText="1"/>
    </xf>
    <xf numFmtId="0" fontId="2" fillId="0" borderId="1" xfId="0" applyNumberFormat="1" applyFont="1" applyBorder="1" applyAlignment="1">
      <alignment horizontal="center" vertical="center" wrapText="1"/>
    </xf>
    <xf numFmtId="0" fontId="2" fillId="0" borderId="2" xfId="0" applyNumberFormat="1" applyFont="1" applyBorder="1" applyAlignment="1">
      <alignment horizontal="center" vertical="center" wrapText="1"/>
    </xf>
    <xf numFmtId="0" fontId="2" fillId="0" borderId="5" xfId="0" applyNumberFormat="1" applyFont="1" applyBorder="1" applyAlignment="1">
      <alignment horizontal="center" vertical="center" wrapText="1"/>
    </xf>
    <xf numFmtId="0" fontId="2" fillId="0" borderId="6" xfId="0" applyNumberFormat="1" applyFont="1" applyBorder="1" applyAlignment="1">
      <alignment horizontal="center" vertical="center" wrapText="1"/>
    </xf>
    <xf numFmtId="0" fontId="2" fillId="0" borderId="3" xfId="0" applyNumberFormat="1" applyFont="1" applyBorder="1" applyAlignment="1">
      <alignment horizontal="center" vertical="top" wrapText="1"/>
    </xf>
    <xf numFmtId="0" fontId="2" fillId="0" borderId="7" xfId="0" applyNumberFormat="1" applyFont="1" applyBorder="1" applyAlignment="1">
      <alignment horizontal="center" vertical="top" wrapText="1"/>
    </xf>
    <xf numFmtId="0" fontId="2" fillId="0" borderId="1" xfId="0" applyNumberFormat="1" applyFont="1" applyFill="1" applyBorder="1" applyAlignment="1">
      <alignment horizontal="center" vertical="top" wrapText="1"/>
    </xf>
    <xf numFmtId="0" fontId="2" fillId="0" borderId="3" xfId="0" applyNumberFormat="1" applyFont="1" applyFill="1" applyBorder="1" applyAlignment="1">
      <alignment horizontal="center" vertical="top" wrapText="1"/>
    </xf>
    <xf numFmtId="0" fontId="2" fillId="0" borderId="2" xfId="0" applyNumberFormat="1" applyFont="1" applyFill="1" applyBorder="1" applyAlignment="1">
      <alignment horizontal="center" vertical="top" wrapText="1"/>
    </xf>
    <xf numFmtId="0" fontId="2" fillId="0" borderId="5" xfId="0" applyNumberFormat="1" applyFont="1" applyFill="1" applyBorder="1" applyAlignment="1">
      <alignment horizontal="center" vertical="top" wrapText="1"/>
    </xf>
    <xf numFmtId="0" fontId="2" fillId="0" borderId="7" xfId="0" applyNumberFormat="1" applyFont="1" applyFill="1" applyBorder="1" applyAlignment="1">
      <alignment horizontal="center" vertical="top" wrapText="1"/>
    </xf>
    <xf numFmtId="0" fontId="2" fillId="0" borderId="6" xfId="0" applyNumberFormat="1" applyFont="1" applyFill="1" applyBorder="1" applyAlignment="1">
      <alignment horizontal="center" vertical="top" wrapText="1"/>
    </xf>
    <xf numFmtId="0" fontId="2" fillId="0" borderId="4" xfId="0" applyNumberFormat="1" applyFont="1" applyBorder="1" applyAlignment="1">
      <alignment horizontal="center" vertical="top" wrapText="1"/>
    </xf>
    <xf numFmtId="0" fontId="0" fillId="0" borderId="1" xfId="0" applyFont="1" applyBorder="1" applyAlignment="1">
      <alignment horizontal="left" vertical="top" wrapText="1"/>
    </xf>
    <xf numFmtId="0" fontId="0" fillId="0" borderId="3" xfId="0" applyFont="1" applyBorder="1" applyAlignment="1">
      <alignment horizontal="left" vertical="top" wrapText="1"/>
    </xf>
    <xf numFmtId="0" fontId="0" fillId="0" borderId="2" xfId="0" applyFont="1" applyBorder="1" applyAlignment="1">
      <alignment horizontal="left" vertical="top" wrapText="1"/>
    </xf>
    <xf numFmtId="0" fontId="0" fillId="0" borderId="5" xfId="0" applyFont="1" applyBorder="1" applyAlignment="1">
      <alignment horizontal="left" vertical="top" wrapText="1"/>
    </xf>
    <xf numFmtId="0" fontId="0" fillId="0" borderId="7" xfId="0" applyFont="1" applyBorder="1" applyAlignment="1">
      <alignment horizontal="left" vertical="top" wrapText="1"/>
    </xf>
    <xf numFmtId="0" fontId="0" fillId="0" borderId="6" xfId="0" applyFont="1" applyBorder="1" applyAlignment="1">
      <alignment horizontal="left" vertical="top" wrapText="1"/>
    </xf>
    <xf numFmtId="0" fontId="0" fillId="0" borderId="5" xfId="0" applyFont="1" applyBorder="1" applyAlignment="1">
      <alignment vertical="top" wrapText="1"/>
    </xf>
    <xf numFmtId="0" fontId="0" fillId="0" borderId="7" xfId="0" applyFont="1" applyBorder="1" applyAlignment="1">
      <alignment vertical="top" wrapText="1"/>
    </xf>
    <xf numFmtId="0" fontId="0" fillId="0" borderId="6" xfId="0" applyFont="1" applyBorder="1" applyAlignment="1">
      <alignment vertical="top" wrapText="1"/>
    </xf>
    <xf numFmtId="0" fontId="10" fillId="0" borderId="0" xfId="0" applyNumberFormat="1" applyFont="1" applyFill="1" applyAlignment="1">
      <alignment vertical="top" wrapText="1"/>
    </xf>
    <xf numFmtId="0" fontId="0" fillId="0" borderId="8" xfId="0" applyFont="1" applyBorder="1" applyAlignment="1">
      <alignment horizontal="left" vertical="top"/>
    </xf>
    <xf numFmtId="0" fontId="0" fillId="0" borderId="12" xfId="0" applyFont="1" applyBorder="1" applyAlignment="1">
      <alignment horizontal="left" vertical="top"/>
    </xf>
    <xf numFmtId="0" fontId="0" fillId="0" borderId="1" xfId="0" applyFont="1" applyBorder="1" applyAlignment="1">
      <alignment vertical="top" wrapText="1"/>
    </xf>
    <xf numFmtId="0" fontId="0" fillId="0" borderId="3" xfId="0" applyFont="1" applyBorder="1" applyAlignment="1">
      <alignment vertical="top" wrapText="1"/>
    </xf>
    <xf numFmtId="0" fontId="0" fillId="0" borderId="2" xfId="0" applyFont="1" applyBorder="1" applyAlignment="1">
      <alignment vertical="top" wrapText="1"/>
    </xf>
    <xf numFmtId="0" fontId="0" fillId="0" borderId="9" xfId="0" applyFont="1" applyBorder="1" applyAlignment="1">
      <alignment horizontal="left" vertical="top" wrapText="1"/>
    </xf>
    <xf numFmtId="0" fontId="0" fillId="0" borderId="10" xfId="0" applyFont="1" applyBorder="1" applyAlignment="1">
      <alignment horizontal="left" vertical="top" wrapText="1"/>
    </xf>
    <xf numFmtId="0" fontId="0" fillId="0" borderId="11" xfId="0" applyFont="1" applyBorder="1" applyAlignment="1">
      <alignment horizontal="left" vertical="top" wrapText="1"/>
    </xf>
    <xf numFmtId="0" fontId="13" fillId="0" borderId="14" xfId="0" applyFont="1" applyBorder="1" applyAlignment="1">
      <alignment horizontal="center" vertical="center"/>
    </xf>
    <xf numFmtId="0" fontId="13" fillId="0" borderId="15" xfId="0" applyFont="1" applyBorder="1" applyAlignment="1">
      <alignment horizontal="center" vertical="center"/>
    </xf>
    <xf numFmtId="0" fontId="16" fillId="0" borderId="17" xfId="0" applyFont="1" applyBorder="1" applyAlignment="1">
      <alignment vertical="center" wrapText="1"/>
    </xf>
    <xf numFmtId="0" fontId="16" fillId="0" borderId="18" xfId="0" applyFont="1" applyBorder="1" applyAlignment="1">
      <alignment vertical="center" wrapText="1"/>
    </xf>
    <xf numFmtId="0" fontId="16" fillId="0" borderId="19" xfId="0" applyFont="1" applyBorder="1" applyAlignment="1">
      <alignment vertical="center" wrapText="1"/>
    </xf>
    <xf numFmtId="0" fontId="17" fillId="0" borderId="17" xfId="0" applyFont="1" applyBorder="1" applyAlignment="1">
      <alignment horizontal="center" vertical="center" wrapText="1"/>
    </xf>
    <xf numFmtId="0" fontId="17" fillId="0" borderId="18" xfId="0" applyFont="1" applyBorder="1" applyAlignment="1">
      <alignment horizontal="center" vertical="center" wrapText="1"/>
    </xf>
    <xf numFmtId="0" fontId="17" fillId="0" borderId="19" xfId="0" applyFont="1" applyBorder="1" applyAlignment="1">
      <alignment horizontal="center" vertical="center" wrapText="1"/>
    </xf>
    <xf numFmtId="0" fontId="19" fillId="0" borderId="17" xfId="0" applyFont="1" applyBorder="1" applyAlignment="1">
      <alignment horizontal="center" vertical="center" wrapText="1"/>
    </xf>
    <xf numFmtId="0" fontId="19" fillId="0" borderId="18" xfId="0" applyFont="1" applyBorder="1" applyAlignment="1">
      <alignment horizontal="center" vertical="center" wrapText="1"/>
    </xf>
    <xf numFmtId="0" fontId="19" fillId="0" borderId="19" xfId="0" applyFont="1" applyBorder="1" applyAlignment="1">
      <alignment horizontal="center" vertical="center" wrapText="1"/>
    </xf>
    <xf numFmtId="9" fontId="0" fillId="0" borderId="0" xfId="3" applyNumberFormat="1" applyFont="1"/>
  </cellXfs>
  <cellStyles count="4">
    <cellStyle name="40% - Accent1" xfId="1" builtinId="31"/>
    <cellStyle name="Hyperlink" xfId="2" builtinId="8"/>
    <cellStyle name="Normal" xfId="0" builtinId="0"/>
    <cellStyle name="Percent" xfId="3" builtinId="5"/>
  </cellStyles>
  <dxfs count="0"/>
  <tableStyles count="0" defaultTableStyle="TableStyleMedium2" defaultPivotStyle="PivotStyleLight16"/>
  <colors>
    <mruColors>
      <color rgb="FFFFCCFF"/>
      <color rgb="FFCC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26" Type="http://schemas.openxmlformats.org/officeDocument/2006/relationships/image" Target="../media/image48.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5" Type="http://schemas.openxmlformats.org/officeDocument/2006/relationships/image" Target="../media/image47.png"/><Relationship Id="rId2" Type="http://schemas.openxmlformats.org/officeDocument/2006/relationships/image" Target="../media/image24.png"/><Relationship Id="rId16" Type="http://schemas.openxmlformats.org/officeDocument/2006/relationships/image" Target="../media/image38.png"/><Relationship Id="rId20" Type="http://schemas.openxmlformats.org/officeDocument/2006/relationships/image" Target="../media/image42.png"/><Relationship Id="rId29" Type="http://schemas.openxmlformats.org/officeDocument/2006/relationships/image" Target="../media/image51.png"/><Relationship Id="rId1" Type="http://schemas.openxmlformats.org/officeDocument/2006/relationships/image" Target="../media/image2.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28" Type="http://schemas.openxmlformats.org/officeDocument/2006/relationships/image" Target="../media/image50.png"/><Relationship Id="rId10" Type="http://schemas.openxmlformats.org/officeDocument/2006/relationships/image" Target="../media/image32.png"/><Relationship Id="rId19" Type="http://schemas.openxmlformats.org/officeDocument/2006/relationships/image" Target="../media/image41.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 Id="rId27" Type="http://schemas.openxmlformats.org/officeDocument/2006/relationships/image" Target="../media/image49.png"/><Relationship Id="rId30" Type="http://schemas.openxmlformats.org/officeDocument/2006/relationships/image" Target="../media/image52.png"/></Relationships>
</file>

<file path=xl/drawings/_rels/drawing3.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3.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2.png"/><Relationship Id="rId2" Type="http://schemas.openxmlformats.org/officeDocument/2006/relationships/image" Target="../media/image53.png"/><Relationship Id="rId1" Type="http://schemas.openxmlformats.org/officeDocument/2006/relationships/image" Target="../media/image45.png"/><Relationship Id="rId6" Type="http://schemas.openxmlformats.org/officeDocument/2006/relationships/image" Target="../media/image57.png"/><Relationship Id="rId11" Type="http://schemas.openxmlformats.org/officeDocument/2006/relationships/image" Target="../media/image2.png"/><Relationship Id="rId5" Type="http://schemas.openxmlformats.org/officeDocument/2006/relationships/image" Target="../media/image56.png"/><Relationship Id="rId15" Type="http://schemas.openxmlformats.org/officeDocument/2006/relationships/image" Target="../media/image65.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4.png"/></Relationships>
</file>

<file path=xl/drawings/_rels/drawing4.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6" Type="http://schemas.openxmlformats.org/officeDocument/2006/relationships/image" Target="../media/image71.png"/><Relationship Id="rId5" Type="http://schemas.openxmlformats.org/officeDocument/2006/relationships/image" Target="../media/image70.png"/><Relationship Id="rId4" Type="http://schemas.openxmlformats.org/officeDocument/2006/relationships/image" Target="../media/image69.png"/></Relationships>
</file>

<file path=xl/drawings/_rels/drawing5.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 Id="rId5" Type="http://schemas.openxmlformats.org/officeDocument/2006/relationships/image" Target="../media/image76.png"/><Relationship Id="rId4" Type="http://schemas.openxmlformats.org/officeDocument/2006/relationships/image" Target="../media/image75.png"/></Relationships>
</file>

<file path=xl/drawings/_rels/drawing6.xml.rels><?xml version="1.0" encoding="UTF-8" standalone="yes"?>
<Relationships xmlns="http://schemas.openxmlformats.org/package/2006/relationships"><Relationship Id="rId8" Type="http://schemas.openxmlformats.org/officeDocument/2006/relationships/image" Target="../media/image84.png"/><Relationship Id="rId13" Type="http://schemas.openxmlformats.org/officeDocument/2006/relationships/image" Target="../media/image89.png"/><Relationship Id="rId18" Type="http://schemas.openxmlformats.org/officeDocument/2006/relationships/image" Target="../media/image94.png"/><Relationship Id="rId26" Type="http://schemas.openxmlformats.org/officeDocument/2006/relationships/image" Target="../media/image102.png"/><Relationship Id="rId3" Type="http://schemas.openxmlformats.org/officeDocument/2006/relationships/image" Target="../media/image79.png"/><Relationship Id="rId21" Type="http://schemas.openxmlformats.org/officeDocument/2006/relationships/image" Target="../media/image97.png"/><Relationship Id="rId7" Type="http://schemas.openxmlformats.org/officeDocument/2006/relationships/image" Target="../media/image83.png"/><Relationship Id="rId12" Type="http://schemas.openxmlformats.org/officeDocument/2006/relationships/image" Target="../media/image88.png"/><Relationship Id="rId17" Type="http://schemas.openxmlformats.org/officeDocument/2006/relationships/image" Target="../media/image93.png"/><Relationship Id="rId25" Type="http://schemas.openxmlformats.org/officeDocument/2006/relationships/image" Target="../media/image101.png"/><Relationship Id="rId2" Type="http://schemas.openxmlformats.org/officeDocument/2006/relationships/image" Target="../media/image78.png"/><Relationship Id="rId16" Type="http://schemas.openxmlformats.org/officeDocument/2006/relationships/image" Target="../media/image92.png"/><Relationship Id="rId20" Type="http://schemas.openxmlformats.org/officeDocument/2006/relationships/image" Target="../media/image96.png"/><Relationship Id="rId1" Type="http://schemas.openxmlformats.org/officeDocument/2006/relationships/image" Target="../media/image77.png"/><Relationship Id="rId6" Type="http://schemas.openxmlformats.org/officeDocument/2006/relationships/image" Target="../media/image82.png"/><Relationship Id="rId11" Type="http://schemas.openxmlformats.org/officeDocument/2006/relationships/image" Target="../media/image87.png"/><Relationship Id="rId24" Type="http://schemas.openxmlformats.org/officeDocument/2006/relationships/image" Target="../media/image100.png"/><Relationship Id="rId5" Type="http://schemas.openxmlformats.org/officeDocument/2006/relationships/image" Target="../media/image81.png"/><Relationship Id="rId15" Type="http://schemas.openxmlformats.org/officeDocument/2006/relationships/image" Target="../media/image91.png"/><Relationship Id="rId23" Type="http://schemas.openxmlformats.org/officeDocument/2006/relationships/image" Target="../media/image99.png"/><Relationship Id="rId10" Type="http://schemas.openxmlformats.org/officeDocument/2006/relationships/image" Target="../media/image86.png"/><Relationship Id="rId19" Type="http://schemas.openxmlformats.org/officeDocument/2006/relationships/image" Target="../media/image95.png"/><Relationship Id="rId4" Type="http://schemas.openxmlformats.org/officeDocument/2006/relationships/image" Target="../media/image80.png"/><Relationship Id="rId9" Type="http://schemas.openxmlformats.org/officeDocument/2006/relationships/image" Target="../media/image85.png"/><Relationship Id="rId14" Type="http://schemas.openxmlformats.org/officeDocument/2006/relationships/image" Target="../media/image90.png"/><Relationship Id="rId22" Type="http://schemas.openxmlformats.org/officeDocument/2006/relationships/image" Target="../media/image98.png"/></Relationships>
</file>

<file path=xl/drawings/_rels/drawing7.xml.rels><?xml version="1.0" encoding="UTF-8" standalone="yes"?>
<Relationships xmlns="http://schemas.openxmlformats.org/package/2006/relationships"><Relationship Id="rId13" Type="http://schemas.openxmlformats.org/officeDocument/2006/relationships/image" Target="../media/image115.png"/><Relationship Id="rId18" Type="http://schemas.openxmlformats.org/officeDocument/2006/relationships/image" Target="../media/image120.png"/><Relationship Id="rId26" Type="http://schemas.openxmlformats.org/officeDocument/2006/relationships/image" Target="../media/image128.png"/><Relationship Id="rId3" Type="http://schemas.openxmlformats.org/officeDocument/2006/relationships/image" Target="../media/image105.png"/><Relationship Id="rId21" Type="http://schemas.openxmlformats.org/officeDocument/2006/relationships/image" Target="../media/image123.png"/><Relationship Id="rId34" Type="http://schemas.openxmlformats.org/officeDocument/2006/relationships/image" Target="../media/image136.png"/><Relationship Id="rId7" Type="http://schemas.openxmlformats.org/officeDocument/2006/relationships/image" Target="../media/image109.png"/><Relationship Id="rId12" Type="http://schemas.openxmlformats.org/officeDocument/2006/relationships/image" Target="../media/image114.png"/><Relationship Id="rId17" Type="http://schemas.openxmlformats.org/officeDocument/2006/relationships/image" Target="../media/image119.png"/><Relationship Id="rId25" Type="http://schemas.openxmlformats.org/officeDocument/2006/relationships/image" Target="../media/image127.png"/><Relationship Id="rId33" Type="http://schemas.openxmlformats.org/officeDocument/2006/relationships/image" Target="../media/image135.png"/><Relationship Id="rId2" Type="http://schemas.openxmlformats.org/officeDocument/2006/relationships/image" Target="../media/image104.png"/><Relationship Id="rId16" Type="http://schemas.openxmlformats.org/officeDocument/2006/relationships/image" Target="../media/image118.png"/><Relationship Id="rId20" Type="http://schemas.openxmlformats.org/officeDocument/2006/relationships/image" Target="../media/image122.png"/><Relationship Id="rId29" Type="http://schemas.openxmlformats.org/officeDocument/2006/relationships/image" Target="../media/image131.png"/><Relationship Id="rId1" Type="http://schemas.openxmlformats.org/officeDocument/2006/relationships/image" Target="../media/image103.png"/><Relationship Id="rId6" Type="http://schemas.openxmlformats.org/officeDocument/2006/relationships/image" Target="../media/image108.png"/><Relationship Id="rId11" Type="http://schemas.openxmlformats.org/officeDocument/2006/relationships/image" Target="../media/image113.png"/><Relationship Id="rId24" Type="http://schemas.openxmlformats.org/officeDocument/2006/relationships/image" Target="../media/image126.png"/><Relationship Id="rId32" Type="http://schemas.openxmlformats.org/officeDocument/2006/relationships/image" Target="../media/image134.png"/><Relationship Id="rId5" Type="http://schemas.openxmlformats.org/officeDocument/2006/relationships/image" Target="../media/image107.png"/><Relationship Id="rId15" Type="http://schemas.openxmlformats.org/officeDocument/2006/relationships/image" Target="../media/image117.png"/><Relationship Id="rId23" Type="http://schemas.openxmlformats.org/officeDocument/2006/relationships/image" Target="../media/image125.png"/><Relationship Id="rId28" Type="http://schemas.openxmlformats.org/officeDocument/2006/relationships/image" Target="../media/image130.png"/><Relationship Id="rId10" Type="http://schemas.openxmlformats.org/officeDocument/2006/relationships/image" Target="../media/image112.png"/><Relationship Id="rId19" Type="http://schemas.openxmlformats.org/officeDocument/2006/relationships/image" Target="../media/image121.png"/><Relationship Id="rId31" Type="http://schemas.openxmlformats.org/officeDocument/2006/relationships/image" Target="../media/image133.png"/><Relationship Id="rId4" Type="http://schemas.openxmlformats.org/officeDocument/2006/relationships/image" Target="../media/image106.png"/><Relationship Id="rId9" Type="http://schemas.openxmlformats.org/officeDocument/2006/relationships/image" Target="../media/image111.png"/><Relationship Id="rId14" Type="http://schemas.openxmlformats.org/officeDocument/2006/relationships/image" Target="../media/image116.png"/><Relationship Id="rId22" Type="http://schemas.openxmlformats.org/officeDocument/2006/relationships/image" Target="../media/image124.png"/><Relationship Id="rId27" Type="http://schemas.openxmlformats.org/officeDocument/2006/relationships/image" Target="../media/image129.png"/><Relationship Id="rId30" Type="http://schemas.openxmlformats.org/officeDocument/2006/relationships/image" Target="../media/image132.png"/><Relationship Id="rId8" Type="http://schemas.openxmlformats.org/officeDocument/2006/relationships/image" Target="../media/image110.png"/></Relationships>
</file>

<file path=xl/drawings/_rels/drawing8.xml.rels><?xml version="1.0" encoding="UTF-8" standalone="yes"?>
<Relationships xmlns="http://schemas.openxmlformats.org/package/2006/relationships"><Relationship Id="rId13" Type="http://schemas.openxmlformats.org/officeDocument/2006/relationships/image" Target="../media/image149.png"/><Relationship Id="rId18" Type="http://schemas.openxmlformats.org/officeDocument/2006/relationships/image" Target="../media/image154.png"/><Relationship Id="rId26" Type="http://schemas.openxmlformats.org/officeDocument/2006/relationships/image" Target="../media/image162.png"/><Relationship Id="rId3" Type="http://schemas.openxmlformats.org/officeDocument/2006/relationships/image" Target="../media/image139.png"/><Relationship Id="rId21" Type="http://schemas.openxmlformats.org/officeDocument/2006/relationships/image" Target="../media/image157.png"/><Relationship Id="rId7" Type="http://schemas.openxmlformats.org/officeDocument/2006/relationships/image" Target="../media/image143.png"/><Relationship Id="rId12" Type="http://schemas.openxmlformats.org/officeDocument/2006/relationships/image" Target="../media/image148.png"/><Relationship Id="rId17" Type="http://schemas.openxmlformats.org/officeDocument/2006/relationships/image" Target="../media/image153.png"/><Relationship Id="rId25" Type="http://schemas.openxmlformats.org/officeDocument/2006/relationships/image" Target="../media/image161.png"/><Relationship Id="rId33" Type="http://schemas.openxmlformats.org/officeDocument/2006/relationships/image" Target="../media/image169.png"/><Relationship Id="rId2" Type="http://schemas.openxmlformats.org/officeDocument/2006/relationships/image" Target="../media/image138.png"/><Relationship Id="rId16" Type="http://schemas.openxmlformats.org/officeDocument/2006/relationships/image" Target="../media/image152.png"/><Relationship Id="rId20" Type="http://schemas.openxmlformats.org/officeDocument/2006/relationships/image" Target="../media/image156.png"/><Relationship Id="rId29" Type="http://schemas.openxmlformats.org/officeDocument/2006/relationships/image" Target="../media/image165.png"/><Relationship Id="rId1" Type="http://schemas.openxmlformats.org/officeDocument/2006/relationships/image" Target="../media/image137.png"/><Relationship Id="rId6" Type="http://schemas.openxmlformats.org/officeDocument/2006/relationships/image" Target="../media/image142.png"/><Relationship Id="rId11" Type="http://schemas.openxmlformats.org/officeDocument/2006/relationships/image" Target="../media/image147.png"/><Relationship Id="rId24" Type="http://schemas.openxmlformats.org/officeDocument/2006/relationships/image" Target="../media/image160.png"/><Relationship Id="rId32" Type="http://schemas.openxmlformats.org/officeDocument/2006/relationships/image" Target="../media/image168.png"/><Relationship Id="rId5" Type="http://schemas.openxmlformats.org/officeDocument/2006/relationships/image" Target="../media/image141.png"/><Relationship Id="rId15" Type="http://schemas.openxmlformats.org/officeDocument/2006/relationships/image" Target="../media/image151.png"/><Relationship Id="rId23" Type="http://schemas.openxmlformats.org/officeDocument/2006/relationships/image" Target="../media/image159.png"/><Relationship Id="rId28" Type="http://schemas.openxmlformats.org/officeDocument/2006/relationships/image" Target="../media/image164.png"/><Relationship Id="rId10" Type="http://schemas.openxmlformats.org/officeDocument/2006/relationships/image" Target="../media/image146.png"/><Relationship Id="rId19" Type="http://schemas.openxmlformats.org/officeDocument/2006/relationships/image" Target="../media/image155.png"/><Relationship Id="rId31" Type="http://schemas.openxmlformats.org/officeDocument/2006/relationships/image" Target="../media/image167.png"/><Relationship Id="rId4" Type="http://schemas.openxmlformats.org/officeDocument/2006/relationships/image" Target="../media/image140.png"/><Relationship Id="rId9" Type="http://schemas.openxmlformats.org/officeDocument/2006/relationships/image" Target="../media/image145.png"/><Relationship Id="rId14" Type="http://schemas.openxmlformats.org/officeDocument/2006/relationships/image" Target="../media/image150.png"/><Relationship Id="rId22" Type="http://schemas.openxmlformats.org/officeDocument/2006/relationships/image" Target="../media/image158.png"/><Relationship Id="rId27" Type="http://schemas.openxmlformats.org/officeDocument/2006/relationships/image" Target="../media/image163.png"/><Relationship Id="rId30" Type="http://schemas.openxmlformats.org/officeDocument/2006/relationships/image" Target="../media/image166.png"/><Relationship Id="rId8" Type="http://schemas.openxmlformats.org/officeDocument/2006/relationships/image" Target="../media/image144.png"/></Relationships>
</file>

<file path=xl/drawings/_rels/drawing9.xml.rels><?xml version="1.0" encoding="UTF-8" standalone="yes"?>
<Relationships xmlns="http://schemas.openxmlformats.org/package/2006/relationships"><Relationship Id="rId3" Type="http://schemas.openxmlformats.org/officeDocument/2006/relationships/image" Target="../media/image172.png"/><Relationship Id="rId2" Type="http://schemas.openxmlformats.org/officeDocument/2006/relationships/image" Target="../media/image171.png"/><Relationship Id="rId1" Type="http://schemas.openxmlformats.org/officeDocument/2006/relationships/image" Target="../media/image17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9</xdr:row>
      <xdr:rowOff>142875</xdr:rowOff>
    </xdr:from>
    <xdr:to>
      <xdr:col>4</xdr:col>
      <xdr:colOff>1080568</xdr:colOff>
      <xdr:row>20</xdr:row>
      <xdr:rowOff>28575</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1857375"/>
          <a:ext cx="7279756" cy="1981200"/>
        </a:xfrm>
        <a:prstGeom prst="rect">
          <a:avLst/>
        </a:prstGeom>
      </xdr:spPr>
    </xdr:pic>
    <xdr:clientData/>
  </xdr:twoCellAnchor>
  <xdr:twoCellAnchor editAs="oneCell">
    <xdr:from>
      <xdr:col>5</xdr:col>
      <xdr:colOff>360363</xdr:colOff>
      <xdr:row>198</xdr:row>
      <xdr:rowOff>19050</xdr:rowOff>
    </xdr:from>
    <xdr:to>
      <xdr:col>9</xdr:col>
      <xdr:colOff>939800</xdr:colOff>
      <xdr:row>211</xdr:row>
      <xdr:rowOff>30969</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7631113" y="39452550"/>
          <a:ext cx="6096000" cy="2488419"/>
        </a:xfrm>
        <a:prstGeom prst="rect">
          <a:avLst/>
        </a:prstGeom>
      </xdr:spPr>
    </xdr:pic>
    <xdr:clientData/>
  </xdr:twoCellAnchor>
  <xdr:twoCellAnchor editAs="oneCell">
    <xdr:from>
      <xdr:col>6</xdr:col>
      <xdr:colOff>752475</xdr:colOff>
      <xdr:row>231</xdr:row>
      <xdr:rowOff>180975</xdr:rowOff>
    </xdr:from>
    <xdr:to>
      <xdr:col>9</xdr:col>
      <xdr:colOff>847725</xdr:colOff>
      <xdr:row>239</xdr:row>
      <xdr:rowOff>114108</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8601075" y="45710475"/>
          <a:ext cx="4143375" cy="1457133"/>
        </a:xfrm>
        <a:prstGeom prst="rect">
          <a:avLst/>
        </a:prstGeom>
      </xdr:spPr>
    </xdr:pic>
    <xdr:clientData/>
  </xdr:twoCellAnchor>
  <xdr:twoCellAnchor editAs="oneCell">
    <xdr:from>
      <xdr:col>4</xdr:col>
      <xdr:colOff>1181100</xdr:colOff>
      <xdr:row>245</xdr:row>
      <xdr:rowOff>142875</xdr:rowOff>
    </xdr:from>
    <xdr:to>
      <xdr:col>9</xdr:col>
      <xdr:colOff>468313</xdr:colOff>
      <xdr:row>253</xdr:row>
      <xdr:rowOff>5292</xdr:rowOff>
    </xdr:to>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6486525" y="48339375"/>
          <a:ext cx="6238875" cy="1386417"/>
        </a:xfrm>
        <a:prstGeom prst="rect">
          <a:avLst/>
        </a:prstGeom>
      </xdr:spPr>
    </xdr:pic>
    <xdr:clientData/>
  </xdr:twoCellAnchor>
  <xdr:twoCellAnchor editAs="oneCell">
    <xdr:from>
      <xdr:col>6</xdr:col>
      <xdr:colOff>1104900</xdr:colOff>
      <xdr:row>259</xdr:row>
      <xdr:rowOff>66675</xdr:rowOff>
    </xdr:from>
    <xdr:to>
      <xdr:col>9</xdr:col>
      <xdr:colOff>1009650</xdr:colOff>
      <xdr:row>269</xdr:row>
      <xdr:rowOff>37353</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9305925" y="51120675"/>
          <a:ext cx="3952875" cy="1875678"/>
        </a:xfrm>
        <a:prstGeom prst="rect">
          <a:avLst/>
        </a:prstGeom>
      </xdr:spPr>
    </xdr:pic>
    <xdr:clientData/>
  </xdr:twoCellAnchor>
  <xdr:twoCellAnchor editAs="oneCell">
    <xdr:from>
      <xdr:col>6</xdr:col>
      <xdr:colOff>19050</xdr:colOff>
      <xdr:row>272</xdr:row>
      <xdr:rowOff>9525</xdr:rowOff>
    </xdr:from>
    <xdr:to>
      <xdr:col>12</xdr:col>
      <xdr:colOff>486856</xdr:colOff>
      <xdr:row>282</xdr:row>
      <xdr:rowOff>114581</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6"/>
        <a:stretch>
          <a:fillRect/>
        </a:stretch>
      </xdr:blipFill>
      <xdr:spPr>
        <a:xfrm>
          <a:off x="8220075" y="53540025"/>
          <a:ext cx="7744906" cy="2010056"/>
        </a:xfrm>
        <a:prstGeom prst="rect">
          <a:avLst/>
        </a:prstGeom>
      </xdr:spPr>
    </xdr:pic>
    <xdr:clientData/>
  </xdr:twoCellAnchor>
  <xdr:twoCellAnchor editAs="oneCell">
    <xdr:from>
      <xdr:col>6</xdr:col>
      <xdr:colOff>561975</xdr:colOff>
      <xdr:row>288</xdr:row>
      <xdr:rowOff>66675</xdr:rowOff>
    </xdr:from>
    <xdr:to>
      <xdr:col>11</xdr:col>
      <xdr:colOff>458084</xdr:colOff>
      <xdr:row>311</xdr:row>
      <xdr:rowOff>76813</xdr:rowOff>
    </xdr:to>
    <xdr:pic>
      <xdr:nvPicPr>
        <xdr:cNvPr id="9" name="Pictur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7"/>
        <a:stretch>
          <a:fillRect/>
        </a:stretch>
      </xdr:blipFill>
      <xdr:spPr>
        <a:xfrm>
          <a:off x="8763000" y="56645175"/>
          <a:ext cx="6335009" cy="4391638"/>
        </a:xfrm>
        <a:prstGeom prst="rect">
          <a:avLst/>
        </a:prstGeom>
      </xdr:spPr>
    </xdr:pic>
    <xdr:clientData/>
  </xdr:twoCellAnchor>
  <xdr:twoCellAnchor editAs="oneCell">
    <xdr:from>
      <xdr:col>3</xdr:col>
      <xdr:colOff>390525</xdr:colOff>
      <xdr:row>288</xdr:row>
      <xdr:rowOff>28575</xdr:rowOff>
    </xdr:from>
    <xdr:to>
      <xdr:col>6</xdr:col>
      <xdr:colOff>149785</xdr:colOff>
      <xdr:row>302</xdr:row>
      <xdr:rowOff>143263</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8"/>
        <a:stretch>
          <a:fillRect/>
        </a:stretch>
      </xdr:blipFill>
      <xdr:spPr>
        <a:xfrm>
          <a:off x="4610100" y="56607075"/>
          <a:ext cx="4010585" cy="2781688"/>
        </a:xfrm>
        <a:prstGeom prst="rect">
          <a:avLst/>
        </a:prstGeom>
      </xdr:spPr>
    </xdr:pic>
    <xdr:clientData/>
  </xdr:twoCellAnchor>
  <xdr:twoCellAnchor editAs="oneCell">
    <xdr:from>
      <xdr:col>14</xdr:col>
      <xdr:colOff>600075</xdr:colOff>
      <xdr:row>377</xdr:row>
      <xdr:rowOff>47625</xdr:rowOff>
    </xdr:from>
    <xdr:to>
      <xdr:col>19</xdr:col>
      <xdr:colOff>233518</xdr:colOff>
      <xdr:row>386</xdr:row>
      <xdr:rowOff>114300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9"/>
        <a:stretch>
          <a:fillRect/>
        </a:stretch>
      </xdr:blipFill>
      <xdr:spPr>
        <a:xfrm>
          <a:off x="16983075" y="73780650"/>
          <a:ext cx="2681443" cy="1781175"/>
        </a:xfrm>
        <a:prstGeom prst="rect">
          <a:avLst/>
        </a:prstGeom>
      </xdr:spPr>
    </xdr:pic>
    <xdr:clientData/>
  </xdr:twoCellAnchor>
  <xdr:twoCellAnchor editAs="oneCell">
    <xdr:from>
      <xdr:col>19</xdr:col>
      <xdr:colOff>190501</xdr:colOff>
      <xdr:row>374</xdr:row>
      <xdr:rowOff>123826</xdr:rowOff>
    </xdr:from>
    <xdr:to>
      <xdr:col>23</xdr:col>
      <xdr:colOff>85725</xdr:colOff>
      <xdr:row>386</xdr:row>
      <xdr:rowOff>121666</xdr:rowOff>
    </xdr:to>
    <xdr:pic>
      <xdr:nvPicPr>
        <xdr:cNvPr id="11" name="Pictur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10"/>
        <a:stretch>
          <a:fillRect/>
        </a:stretch>
      </xdr:blipFill>
      <xdr:spPr>
        <a:xfrm>
          <a:off x="19621501" y="73285351"/>
          <a:ext cx="3419474" cy="2283840"/>
        </a:xfrm>
        <a:prstGeom prst="rect">
          <a:avLst/>
        </a:prstGeom>
      </xdr:spPr>
    </xdr:pic>
    <xdr:clientData/>
  </xdr:twoCellAnchor>
  <xdr:twoCellAnchor editAs="oneCell">
    <xdr:from>
      <xdr:col>15</xdr:col>
      <xdr:colOff>485775</xdr:colOff>
      <xdr:row>435</xdr:row>
      <xdr:rowOff>85725</xdr:rowOff>
    </xdr:from>
    <xdr:to>
      <xdr:col>20</xdr:col>
      <xdr:colOff>1123950</xdr:colOff>
      <xdr:row>448</xdr:row>
      <xdr:rowOff>9606</xdr:rowOff>
    </xdr:to>
    <xdr:pic>
      <xdr:nvPicPr>
        <xdr:cNvPr id="12" name="Pictur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1"/>
        <a:stretch>
          <a:fillRect/>
        </a:stretch>
      </xdr:blipFill>
      <xdr:spPr>
        <a:xfrm>
          <a:off x="17478375" y="85058250"/>
          <a:ext cx="3686175" cy="2400381"/>
        </a:xfrm>
        <a:prstGeom prst="rect">
          <a:avLst/>
        </a:prstGeom>
      </xdr:spPr>
    </xdr:pic>
    <xdr:clientData/>
  </xdr:twoCellAnchor>
  <xdr:twoCellAnchor editAs="oneCell">
    <xdr:from>
      <xdr:col>16</xdr:col>
      <xdr:colOff>180974</xdr:colOff>
      <xdr:row>448</xdr:row>
      <xdr:rowOff>9525</xdr:rowOff>
    </xdr:from>
    <xdr:to>
      <xdr:col>21</xdr:col>
      <xdr:colOff>522119</xdr:colOff>
      <xdr:row>459</xdr:row>
      <xdr:rowOff>54970</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2"/>
        <a:stretch>
          <a:fillRect/>
        </a:stretch>
      </xdr:blipFill>
      <xdr:spPr>
        <a:xfrm>
          <a:off x="17783174" y="87458550"/>
          <a:ext cx="4474995" cy="2140945"/>
        </a:xfrm>
        <a:prstGeom prst="rect">
          <a:avLst/>
        </a:prstGeom>
      </xdr:spPr>
    </xdr:pic>
    <xdr:clientData/>
  </xdr:twoCellAnchor>
  <xdr:twoCellAnchor editAs="oneCell">
    <xdr:from>
      <xdr:col>14</xdr:col>
      <xdr:colOff>518181</xdr:colOff>
      <xdr:row>460</xdr:row>
      <xdr:rowOff>85724</xdr:rowOff>
    </xdr:from>
    <xdr:to>
      <xdr:col>22</xdr:col>
      <xdr:colOff>342900</xdr:colOff>
      <xdr:row>474</xdr:row>
      <xdr:rowOff>154373</xdr:rowOff>
    </xdr:to>
    <xdr:pic>
      <xdr:nvPicPr>
        <xdr:cNvPr id="14" name="Pictur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3"/>
        <a:stretch>
          <a:fillRect/>
        </a:stretch>
      </xdr:blipFill>
      <xdr:spPr>
        <a:xfrm>
          <a:off x="16901181" y="89820749"/>
          <a:ext cx="5787369" cy="2735649"/>
        </a:xfrm>
        <a:prstGeom prst="rect">
          <a:avLst/>
        </a:prstGeom>
      </xdr:spPr>
    </xdr:pic>
    <xdr:clientData/>
  </xdr:twoCellAnchor>
  <xdr:twoCellAnchor editAs="oneCell">
    <xdr:from>
      <xdr:col>6</xdr:col>
      <xdr:colOff>976313</xdr:colOff>
      <xdr:row>520</xdr:row>
      <xdr:rowOff>182562</xdr:rowOff>
    </xdr:from>
    <xdr:to>
      <xdr:col>10</xdr:col>
      <xdr:colOff>317501</xdr:colOff>
      <xdr:row>535</xdr:row>
      <xdr:rowOff>77206</xdr:rowOff>
    </xdr:to>
    <xdr:pic>
      <xdr:nvPicPr>
        <xdr:cNvPr id="15" name="Pictur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4"/>
        <a:stretch>
          <a:fillRect/>
        </a:stretch>
      </xdr:blipFill>
      <xdr:spPr>
        <a:xfrm>
          <a:off x="9707563" y="98869500"/>
          <a:ext cx="4945063" cy="2752144"/>
        </a:xfrm>
        <a:prstGeom prst="rect">
          <a:avLst/>
        </a:prstGeom>
      </xdr:spPr>
    </xdr:pic>
    <xdr:clientData/>
  </xdr:twoCellAnchor>
  <xdr:twoCellAnchor editAs="oneCell">
    <xdr:from>
      <xdr:col>8</xdr:col>
      <xdr:colOff>658813</xdr:colOff>
      <xdr:row>503</xdr:row>
      <xdr:rowOff>23813</xdr:rowOff>
    </xdr:from>
    <xdr:to>
      <xdr:col>12</xdr:col>
      <xdr:colOff>488951</xdr:colOff>
      <xdr:row>514</xdr:row>
      <xdr:rowOff>24706</xdr:rowOff>
    </xdr:to>
    <xdr:pic>
      <xdr:nvPicPr>
        <xdr:cNvPr id="16" name="Pictur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5"/>
        <a:stretch>
          <a:fillRect/>
        </a:stretch>
      </xdr:blipFill>
      <xdr:spPr>
        <a:xfrm>
          <a:off x="11787188" y="97758251"/>
          <a:ext cx="4714875" cy="2096393"/>
        </a:xfrm>
        <a:prstGeom prst="rect">
          <a:avLst/>
        </a:prstGeom>
      </xdr:spPr>
    </xdr:pic>
    <xdr:clientData/>
  </xdr:twoCellAnchor>
  <xdr:twoCellAnchor editAs="oneCell">
    <xdr:from>
      <xdr:col>6</xdr:col>
      <xdr:colOff>912814</xdr:colOff>
      <xdr:row>548</xdr:row>
      <xdr:rowOff>142874</xdr:rowOff>
    </xdr:from>
    <xdr:to>
      <xdr:col>10</xdr:col>
      <xdr:colOff>11114</xdr:colOff>
      <xdr:row>558</xdr:row>
      <xdr:rowOff>20253</xdr:rowOff>
    </xdr:to>
    <xdr:pic>
      <xdr:nvPicPr>
        <xdr:cNvPr id="17" name="Picture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6"/>
        <a:stretch>
          <a:fillRect/>
        </a:stretch>
      </xdr:blipFill>
      <xdr:spPr>
        <a:xfrm>
          <a:off x="9644064" y="106449812"/>
          <a:ext cx="4699000" cy="1782379"/>
        </a:xfrm>
        <a:prstGeom prst="rect">
          <a:avLst/>
        </a:prstGeom>
      </xdr:spPr>
    </xdr:pic>
    <xdr:clientData/>
  </xdr:twoCellAnchor>
  <xdr:twoCellAnchor editAs="oneCell">
    <xdr:from>
      <xdr:col>6</xdr:col>
      <xdr:colOff>15875</xdr:colOff>
      <xdr:row>579</xdr:row>
      <xdr:rowOff>150811</xdr:rowOff>
    </xdr:from>
    <xdr:to>
      <xdr:col>9</xdr:col>
      <xdr:colOff>307689</xdr:colOff>
      <xdr:row>598</xdr:row>
      <xdr:rowOff>171949</xdr:rowOff>
    </xdr:to>
    <xdr:pic>
      <xdr:nvPicPr>
        <xdr:cNvPr id="18" name="Pictur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7"/>
        <a:stretch>
          <a:fillRect/>
        </a:stretch>
      </xdr:blipFill>
      <xdr:spPr>
        <a:xfrm>
          <a:off x="8747125" y="112363249"/>
          <a:ext cx="4339939" cy="3640638"/>
        </a:xfrm>
        <a:prstGeom prst="rect">
          <a:avLst/>
        </a:prstGeom>
      </xdr:spPr>
    </xdr:pic>
    <xdr:clientData/>
  </xdr:twoCellAnchor>
  <xdr:twoCellAnchor editAs="oneCell">
    <xdr:from>
      <xdr:col>11</xdr:col>
      <xdr:colOff>349249</xdr:colOff>
      <xdr:row>200</xdr:row>
      <xdr:rowOff>15875</xdr:rowOff>
    </xdr:from>
    <xdr:to>
      <xdr:col>20</xdr:col>
      <xdr:colOff>317499</xdr:colOff>
      <xdr:row>209</xdr:row>
      <xdr:rowOff>60857</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8"/>
        <a:stretch>
          <a:fillRect/>
        </a:stretch>
      </xdr:blipFill>
      <xdr:spPr>
        <a:xfrm>
          <a:off x="15152687" y="39830375"/>
          <a:ext cx="5857875" cy="1759482"/>
        </a:xfrm>
        <a:prstGeom prst="rect">
          <a:avLst/>
        </a:prstGeom>
      </xdr:spPr>
    </xdr:pic>
    <xdr:clientData/>
  </xdr:twoCellAnchor>
  <xdr:twoCellAnchor editAs="oneCell">
    <xdr:from>
      <xdr:col>3</xdr:col>
      <xdr:colOff>795617</xdr:colOff>
      <xdr:row>691</xdr:row>
      <xdr:rowOff>100853</xdr:rowOff>
    </xdr:from>
    <xdr:to>
      <xdr:col>6</xdr:col>
      <xdr:colOff>224117</xdr:colOff>
      <xdr:row>700</xdr:row>
      <xdr:rowOff>71376</xdr:rowOff>
    </xdr:to>
    <xdr:pic>
      <xdr:nvPicPr>
        <xdr:cNvPr id="20" name="Picture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9"/>
        <a:stretch>
          <a:fillRect/>
        </a:stretch>
      </xdr:blipFill>
      <xdr:spPr>
        <a:xfrm>
          <a:off x="5647764" y="136129059"/>
          <a:ext cx="3686735" cy="1685023"/>
        </a:xfrm>
        <a:prstGeom prst="rect">
          <a:avLst/>
        </a:prstGeom>
      </xdr:spPr>
    </xdr:pic>
    <xdr:clientData/>
  </xdr:twoCellAnchor>
  <xdr:twoCellAnchor editAs="oneCell">
    <xdr:from>
      <xdr:col>4</xdr:col>
      <xdr:colOff>0</xdr:colOff>
      <xdr:row>716</xdr:row>
      <xdr:rowOff>0</xdr:rowOff>
    </xdr:from>
    <xdr:to>
      <xdr:col>13</xdr:col>
      <xdr:colOff>344477</xdr:colOff>
      <xdr:row>727</xdr:row>
      <xdr:rowOff>143187</xdr:rowOff>
    </xdr:to>
    <xdr:pic>
      <xdr:nvPicPr>
        <xdr:cNvPr id="21" name="Pictur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20"/>
        <a:stretch>
          <a:fillRect/>
        </a:stretch>
      </xdr:blipFill>
      <xdr:spPr>
        <a:xfrm>
          <a:off x="6200775" y="140789025"/>
          <a:ext cx="11298227" cy="2238687"/>
        </a:xfrm>
        <a:prstGeom prst="rect">
          <a:avLst/>
        </a:prstGeom>
      </xdr:spPr>
    </xdr:pic>
    <xdr:clientData/>
  </xdr:twoCellAnchor>
  <xdr:twoCellAnchor editAs="oneCell">
    <xdr:from>
      <xdr:col>6</xdr:col>
      <xdr:colOff>571500</xdr:colOff>
      <xdr:row>733</xdr:row>
      <xdr:rowOff>133350</xdr:rowOff>
    </xdr:from>
    <xdr:to>
      <xdr:col>11</xdr:col>
      <xdr:colOff>315188</xdr:colOff>
      <xdr:row>751</xdr:row>
      <xdr:rowOff>38565</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1"/>
        <a:stretch>
          <a:fillRect/>
        </a:stretch>
      </xdr:blipFill>
      <xdr:spPr>
        <a:xfrm>
          <a:off x="9677400" y="144160875"/>
          <a:ext cx="6182588" cy="3334215"/>
        </a:xfrm>
        <a:prstGeom prst="rect">
          <a:avLst/>
        </a:prstGeom>
      </xdr:spPr>
    </xdr:pic>
    <xdr:clientData/>
  </xdr:twoCellAnchor>
  <xdr:twoCellAnchor editAs="oneCell">
    <xdr:from>
      <xdr:col>3</xdr:col>
      <xdr:colOff>647701</xdr:colOff>
      <xdr:row>760</xdr:row>
      <xdr:rowOff>19050</xdr:rowOff>
    </xdr:from>
    <xdr:to>
      <xdr:col>6</xdr:col>
      <xdr:colOff>847726</xdr:colOff>
      <xdr:row>775</xdr:row>
      <xdr:rowOff>21859</xdr:rowOff>
    </xdr:to>
    <xdr:pic>
      <xdr:nvPicPr>
        <xdr:cNvPr id="25" name="Picture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2"/>
        <a:stretch>
          <a:fillRect/>
        </a:stretch>
      </xdr:blipFill>
      <xdr:spPr>
        <a:xfrm>
          <a:off x="5495926" y="149190075"/>
          <a:ext cx="4457700" cy="2860309"/>
        </a:xfrm>
        <a:prstGeom prst="rect">
          <a:avLst/>
        </a:prstGeom>
      </xdr:spPr>
    </xdr:pic>
    <xdr:clientData/>
  </xdr:twoCellAnchor>
  <xdr:twoCellAnchor editAs="oneCell">
    <xdr:from>
      <xdr:col>3</xdr:col>
      <xdr:colOff>1</xdr:colOff>
      <xdr:row>795</xdr:row>
      <xdr:rowOff>0</xdr:rowOff>
    </xdr:from>
    <xdr:to>
      <xdr:col>5</xdr:col>
      <xdr:colOff>1323976</xdr:colOff>
      <xdr:row>813</xdr:row>
      <xdr:rowOff>155376</xdr:rowOff>
    </xdr:to>
    <xdr:pic>
      <xdr:nvPicPr>
        <xdr:cNvPr id="26" name="Picture 2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23"/>
        <a:stretch>
          <a:fillRect/>
        </a:stretch>
      </xdr:blipFill>
      <xdr:spPr>
        <a:xfrm>
          <a:off x="4848226" y="155838525"/>
          <a:ext cx="4114800" cy="35843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593035</xdr:colOff>
      <xdr:row>7</xdr:row>
      <xdr:rowOff>45968</xdr:rowOff>
    </xdr:from>
    <xdr:to>
      <xdr:col>15</xdr:col>
      <xdr:colOff>589767</xdr:colOff>
      <xdr:row>20</xdr:row>
      <xdr:rowOff>57887</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5347252" y="1379468"/>
          <a:ext cx="6125862" cy="2488419"/>
        </a:xfrm>
        <a:prstGeom prst="rect">
          <a:avLst/>
        </a:prstGeom>
      </xdr:spPr>
    </xdr:pic>
    <xdr:clientData/>
  </xdr:twoCellAnchor>
  <xdr:twoCellAnchor editAs="oneCell">
    <xdr:from>
      <xdr:col>5</xdr:col>
      <xdr:colOff>115956</xdr:colOff>
      <xdr:row>29</xdr:row>
      <xdr:rowOff>149088</xdr:rowOff>
    </xdr:from>
    <xdr:to>
      <xdr:col>10</xdr:col>
      <xdr:colOff>116466</xdr:colOff>
      <xdr:row>40</xdr:row>
      <xdr:rowOff>91109</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4870173" y="6626088"/>
          <a:ext cx="3065075" cy="2037521"/>
        </a:xfrm>
        <a:prstGeom prst="rect">
          <a:avLst/>
        </a:prstGeom>
      </xdr:spPr>
    </xdr:pic>
    <xdr:clientData/>
  </xdr:twoCellAnchor>
  <xdr:twoCellAnchor editAs="oneCell">
    <xdr:from>
      <xdr:col>6</xdr:col>
      <xdr:colOff>331306</xdr:colOff>
      <xdr:row>47</xdr:row>
      <xdr:rowOff>82826</xdr:rowOff>
    </xdr:from>
    <xdr:to>
      <xdr:col>12</xdr:col>
      <xdr:colOff>194016</xdr:colOff>
      <xdr:row>59</xdr:row>
      <xdr:rowOff>115957</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5698436" y="9988826"/>
          <a:ext cx="3540188" cy="2319131"/>
        </a:xfrm>
        <a:prstGeom prst="rect">
          <a:avLst/>
        </a:prstGeom>
      </xdr:spPr>
    </xdr:pic>
    <xdr:clientData/>
  </xdr:twoCellAnchor>
  <xdr:twoCellAnchor editAs="oneCell">
    <xdr:from>
      <xdr:col>6</xdr:col>
      <xdr:colOff>331305</xdr:colOff>
      <xdr:row>65</xdr:row>
      <xdr:rowOff>124239</xdr:rowOff>
    </xdr:from>
    <xdr:to>
      <xdr:col>13</xdr:col>
      <xdr:colOff>339588</xdr:colOff>
      <xdr:row>78</xdr:row>
      <xdr:rowOff>104124</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6079435" y="13459239"/>
          <a:ext cx="4298674" cy="2456385"/>
        </a:xfrm>
        <a:prstGeom prst="rect">
          <a:avLst/>
        </a:prstGeom>
      </xdr:spPr>
    </xdr:pic>
    <xdr:clientData/>
  </xdr:twoCellAnchor>
  <xdr:twoCellAnchor editAs="oneCell">
    <xdr:from>
      <xdr:col>4</xdr:col>
      <xdr:colOff>49696</xdr:colOff>
      <xdr:row>82</xdr:row>
      <xdr:rowOff>82827</xdr:rowOff>
    </xdr:from>
    <xdr:to>
      <xdr:col>9</xdr:col>
      <xdr:colOff>49695</xdr:colOff>
      <xdr:row>91</xdr:row>
      <xdr:rowOff>1127</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5"/>
        <a:stretch>
          <a:fillRect/>
        </a:stretch>
      </xdr:blipFill>
      <xdr:spPr>
        <a:xfrm>
          <a:off x="4572000" y="16656327"/>
          <a:ext cx="3064565" cy="1632800"/>
        </a:xfrm>
        <a:prstGeom prst="rect">
          <a:avLst/>
        </a:prstGeom>
      </xdr:spPr>
    </xdr:pic>
    <xdr:clientData/>
  </xdr:twoCellAnchor>
  <xdr:twoCellAnchor editAs="oneCell">
    <xdr:from>
      <xdr:col>16</xdr:col>
      <xdr:colOff>149087</xdr:colOff>
      <xdr:row>6</xdr:row>
      <xdr:rowOff>182217</xdr:rowOff>
    </xdr:from>
    <xdr:to>
      <xdr:col>25</xdr:col>
      <xdr:colOff>529668</xdr:colOff>
      <xdr:row>20</xdr:row>
      <xdr:rowOff>39694</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12026348" y="1325217"/>
          <a:ext cx="5896798" cy="2524477"/>
        </a:xfrm>
        <a:prstGeom prst="rect">
          <a:avLst/>
        </a:prstGeom>
      </xdr:spPr>
    </xdr:pic>
    <xdr:clientData/>
  </xdr:twoCellAnchor>
  <xdr:twoCellAnchor editAs="oneCell">
    <xdr:from>
      <xdr:col>16</xdr:col>
      <xdr:colOff>240195</xdr:colOff>
      <xdr:row>19</xdr:row>
      <xdr:rowOff>115956</xdr:rowOff>
    </xdr:from>
    <xdr:to>
      <xdr:col>25</xdr:col>
      <xdr:colOff>463826</xdr:colOff>
      <xdr:row>33</xdr:row>
      <xdr:rowOff>113361</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12432195" y="3735456"/>
          <a:ext cx="5739848" cy="2664405"/>
        </a:xfrm>
        <a:prstGeom prst="rect">
          <a:avLst/>
        </a:prstGeom>
      </xdr:spPr>
    </xdr:pic>
    <xdr:clientData/>
  </xdr:twoCellAnchor>
  <xdr:twoCellAnchor editAs="oneCell">
    <xdr:from>
      <xdr:col>7</xdr:col>
      <xdr:colOff>24848</xdr:colOff>
      <xdr:row>111</xdr:row>
      <xdr:rowOff>24848</xdr:rowOff>
    </xdr:from>
    <xdr:to>
      <xdr:col>14</xdr:col>
      <xdr:colOff>244570</xdr:colOff>
      <xdr:row>121</xdr:row>
      <xdr:rowOff>140805</xdr:rowOff>
    </xdr:to>
    <xdr:pic>
      <xdr:nvPicPr>
        <xdr:cNvPr id="10" name="Pictur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8"/>
        <a:stretch>
          <a:fillRect/>
        </a:stretch>
      </xdr:blipFill>
      <xdr:spPr>
        <a:xfrm>
          <a:off x="6385891" y="21932348"/>
          <a:ext cx="4510113" cy="2020957"/>
        </a:xfrm>
        <a:prstGeom prst="rect">
          <a:avLst/>
        </a:prstGeom>
      </xdr:spPr>
    </xdr:pic>
    <xdr:clientData/>
  </xdr:twoCellAnchor>
  <xdr:twoCellAnchor editAs="oneCell">
    <xdr:from>
      <xdr:col>5</xdr:col>
      <xdr:colOff>405848</xdr:colOff>
      <xdr:row>126</xdr:row>
      <xdr:rowOff>115957</xdr:rowOff>
    </xdr:from>
    <xdr:to>
      <xdr:col>12</xdr:col>
      <xdr:colOff>259410</xdr:colOff>
      <xdr:row>135</xdr:row>
      <xdr:rowOff>1880</xdr:rowOff>
    </xdr:to>
    <xdr:pic>
      <xdr:nvPicPr>
        <xdr:cNvPr id="11" name="Pictur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9"/>
        <a:stretch>
          <a:fillRect/>
        </a:stretch>
      </xdr:blipFill>
      <xdr:spPr>
        <a:xfrm>
          <a:off x="5855805" y="25071457"/>
          <a:ext cx="4143953" cy="1600423"/>
        </a:xfrm>
        <a:prstGeom prst="rect">
          <a:avLst/>
        </a:prstGeom>
      </xdr:spPr>
    </xdr:pic>
    <xdr:clientData/>
  </xdr:twoCellAnchor>
  <xdr:twoCellAnchor editAs="oneCell">
    <xdr:from>
      <xdr:col>5</xdr:col>
      <xdr:colOff>99390</xdr:colOff>
      <xdr:row>138</xdr:row>
      <xdr:rowOff>124239</xdr:rowOff>
    </xdr:from>
    <xdr:to>
      <xdr:col>11</xdr:col>
      <xdr:colOff>565865</xdr:colOff>
      <xdr:row>145</xdr:row>
      <xdr:rowOff>10109</xdr:rowOff>
    </xdr:to>
    <xdr:pic>
      <xdr:nvPicPr>
        <xdr:cNvPr id="12" name="Pictur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0"/>
        <a:stretch>
          <a:fillRect/>
        </a:stretch>
      </xdr:blipFill>
      <xdr:spPr>
        <a:xfrm>
          <a:off x="5549347" y="27365739"/>
          <a:ext cx="4143953" cy="1219370"/>
        </a:xfrm>
        <a:prstGeom prst="rect">
          <a:avLst/>
        </a:prstGeom>
      </xdr:spPr>
    </xdr:pic>
    <xdr:clientData/>
  </xdr:twoCellAnchor>
  <xdr:twoCellAnchor editAs="oneCell">
    <xdr:from>
      <xdr:col>4</xdr:col>
      <xdr:colOff>563218</xdr:colOff>
      <xdr:row>150</xdr:row>
      <xdr:rowOff>115957</xdr:rowOff>
    </xdr:from>
    <xdr:to>
      <xdr:col>11</xdr:col>
      <xdr:colOff>369148</xdr:colOff>
      <xdr:row>160</xdr:row>
      <xdr:rowOff>135276</xdr:rowOff>
    </xdr:to>
    <xdr:pic>
      <xdr:nvPicPr>
        <xdr:cNvPr id="13" name="Pictur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1"/>
        <a:stretch>
          <a:fillRect/>
        </a:stretch>
      </xdr:blipFill>
      <xdr:spPr>
        <a:xfrm>
          <a:off x="5400261" y="29643457"/>
          <a:ext cx="4096322" cy="1924319"/>
        </a:xfrm>
        <a:prstGeom prst="rect">
          <a:avLst/>
        </a:prstGeom>
      </xdr:spPr>
    </xdr:pic>
    <xdr:clientData/>
  </xdr:twoCellAnchor>
  <xdr:twoCellAnchor editAs="oneCell">
    <xdr:from>
      <xdr:col>6</xdr:col>
      <xdr:colOff>389282</xdr:colOff>
      <xdr:row>165</xdr:row>
      <xdr:rowOff>173935</xdr:rowOff>
    </xdr:from>
    <xdr:to>
      <xdr:col>13</xdr:col>
      <xdr:colOff>242844</xdr:colOff>
      <xdr:row>169</xdr:row>
      <xdr:rowOff>88304</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2"/>
        <a:stretch>
          <a:fillRect/>
        </a:stretch>
      </xdr:blipFill>
      <xdr:spPr>
        <a:xfrm>
          <a:off x="6452152" y="32558935"/>
          <a:ext cx="4143953" cy="676369"/>
        </a:xfrm>
        <a:prstGeom prst="rect">
          <a:avLst/>
        </a:prstGeom>
      </xdr:spPr>
    </xdr:pic>
    <xdr:clientData/>
  </xdr:twoCellAnchor>
  <xdr:twoCellAnchor editAs="oneCell">
    <xdr:from>
      <xdr:col>6</xdr:col>
      <xdr:colOff>281609</xdr:colOff>
      <xdr:row>170</xdr:row>
      <xdr:rowOff>66261</xdr:rowOff>
    </xdr:from>
    <xdr:to>
      <xdr:col>13</xdr:col>
      <xdr:colOff>192329</xdr:colOff>
      <xdr:row>175</xdr:row>
      <xdr:rowOff>94973</xdr:rowOff>
    </xdr:to>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3"/>
        <a:stretch>
          <a:fillRect/>
        </a:stretch>
      </xdr:blipFill>
      <xdr:spPr>
        <a:xfrm>
          <a:off x="6344479" y="33403761"/>
          <a:ext cx="4201111" cy="981212"/>
        </a:xfrm>
        <a:prstGeom prst="rect">
          <a:avLst/>
        </a:prstGeom>
      </xdr:spPr>
    </xdr:pic>
    <xdr:clientData/>
  </xdr:twoCellAnchor>
  <xdr:twoCellAnchor editAs="oneCell">
    <xdr:from>
      <xdr:col>6</xdr:col>
      <xdr:colOff>281610</xdr:colOff>
      <xdr:row>202</xdr:row>
      <xdr:rowOff>82827</xdr:rowOff>
    </xdr:from>
    <xdr:to>
      <xdr:col>10</xdr:col>
      <xdr:colOff>38466</xdr:colOff>
      <xdr:row>209</xdr:row>
      <xdr:rowOff>165653</xdr:rowOff>
    </xdr:to>
    <xdr:pic>
      <xdr:nvPicPr>
        <xdr:cNvPr id="16" name="Pictur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4"/>
        <a:stretch>
          <a:fillRect/>
        </a:stretch>
      </xdr:blipFill>
      <xdr:spPr>
        <a:xfrm>
          <a:off x="6344480" y="39516327"/>
          <a:ext cx="2208508" cy="1416326"/>
        </a:xfrm>
        <a:prstGeom prst="rect">
          <a:avLst/>
        </a:prstGeom>
      </xdr:spPr>
    </xdr:pic>
    <xdr:clientData/>
  </xdr:twoCellAnchor>
  <xdr:twoCellAnchor editAs="oneCell">
    <xdr:from>
      <xdr:col>3</xdr:col>
      <xdr:colOff>380999</xdr:colOff>
      <xdr:row>216</xdr:row>
      <xdr:rowOff>1</xdr:rowOff>
    </xdr:from>
    <xdr:to>
      <xdr:col>11</xdr:col>
      <xdr:colOff>149086</xdr:colOff>
      <xdr:row>222</xdr:row>
      <xdr:rowOff>76401</xdr:rowOff>
    </xdr:to>
    <xdr:pic>
      <xdr:nvPicPr>
        <xdr:cNvPr id="17" name="Picture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5"/>
        <a:stretch>
          <a:fillRect/>
        </a:stretch>
      </xdr:blipFill>
      <xdr:spPr>
        <a:xfrm>
          <a:off x="4290390" y="42100501"/>
          <a:ext cx="4986131" cy="1219400"/>
        </a:xfrm>
        <a:prstGeom prst="rect">
          <a:avLst/>
        </a:prstGeom>
      </xdr:spPr>
    </xdr:pic>
    <xdr:clientData/>
  </xdr:twoCellAnchor>
  <xdr:twoCellAnchor editAs="oneCell">
    <xdr:from>
      <xdr:col>14</xdr:col>
      <xdr:colOff>488675</xdr:colOff>
      <xdr:row>226</xdr:row>
      <xdr:rowOff>132522</xdr:rowOff>
    </xdr:from>
    <xdr:to>
      <xdr:col>18</xdr:col>
      <xdr:colOff>596349</xdr:colOff>
      <xdr:row>237</xdr:row>
      <xdr:rowOff>71801</xdr:rowOff>
    </xdr:to>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6"/>
        <a:stretch>
          <a:fillRect/>
        </a:stretch>
      </xdr:blipFill>
      <xdr:spPr>
        <a:xfrm>
          <a:off x="11454849" y="44138022"/>
          <a:ext cx="2559326" cy="2034779"/>
        </a:xfrm>
        <a:prstGeom prst="rect">
          <a:avLst/>
        </a:prstGeom>
      </xdr:spPr>
    </xdr:pic>
    <xdr:clientData/>
  </xdr:twoCellAnchor>
  <xdr:twoCellAnchor editAs="oneCell">
    <xdr:from>
      <xdr:col>4</xdr:col>
      <xdr:colOff>107676</xdr:colOff>
      <xdr:row>226</xdr:row>
      <xdr:rowOff>115954</xdr:rowOff>
    </xdr:from>
    <xdr:to>
      <xdr:col>14</xdr:col>
      <xdr:colOff>331304</xdr:colOff>
      <xdr:row>238</xdr:row>
      <xdr:rowOff>129595</xdr:rowOff>
    </xdr:to>
    <xdr:pic>
      <xdr:nvPicPr>
        <xdr:cNvPr id="19" name="Pictur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7"/>
        <a:stretch>
          <a:fillRect/>
        </a:stretch>
      </xdr:blipFill>
      <xdr:spPr>
        <a:xfrm>
          <a:off x="4944719" y="44121454"/>
          <a:ext cx="6352759" cy="2299641"/>
        </a:xfrm>
        <a:prstGeom prst="rect">
          <a:avLst/>
        </a:prstGeom>
      </xdr:spPr>
    </xdr:pic>
    <xdr:clientData/>
  </xdr:twoCellAnchor>
  <xdr:twoCellAnchor editAs="oneCell">
    <xdr:from>
      <xdr:col>4</xdr:col>
      <xdr:colOff>16567</xdr:colOff>
      <xdr:row>245</xdr:row>
      <xdr:rowOff>49697</xdr:rowOff>
    </xdr:from>
    <xdr:to>
      <xdr:col>10</xdr:col>
      <xdr:colOff>530087</xdr:colOff>
      <xdr:row>248</xdr:row>
      <xdr:rowOff>88241</xdr:rowOff>
    </xdr:to>
    <xdr:pic>
      <xdr:nvPicPr>
        <xdr:cNvPr id="20" name="Picture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18"/>
        <a:stretch>
          <a:fillRect/>
        </a:stretch>
      </xdr:blipFill>
      <xdr:spPr>
        <a:xfrm>
          <a:off x="4853610" y="47674697"/>
          <a:ext cx="4190999" cy="610044"/>
        </a:xfrm>
        <a:prstGeom prst="rect">
          <a:avLst/>
        </a:prstGeom>
      </xdr:spPr>
    </xdr:pic>
    <xdr:clientData/>
  </xdr:twoCellAnchor>
  <xdr:twoCellAnchor editAs="oneCell">
    <xdr:from>
      <xdr:col>4</xdr:col>
      <xdr:colOff>207066</xdr:colOff>
      <xdr:row>280</xdr:row>
      <xdr:rowOff>157369</xdr:rowOff>
    </xdr:from>
    <xdr:to>
      <xdr:col>12</xdr:col>
      <xdr:colOff>533982</xdr:colOff>
      <xdr:row>290</xdr:row>
      <xdr:rowOff>173934</xdr:rowOff>
    </xdr:to>
    <xdr:pic>
      <xdr:nvPicPr>
        <xdr:cNvPr id="22" name="Pictur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9"/>
        <a:stretch>
          <a:fillRect/>
        </a:stretch>
      </xdr:blipFill>
      <xdr:spPr>
        <a:xfrm>
          <a:off x="5044109" y="54449869"/>
          <a:ext cx="5230221" cy="1921565"/>
        </a:xfrm>
        <a:prstGeom prst="rect">
          <a:avLst/>
        </a:prstGeom>
      </xdr:spPr>
    </xdr:pic>
    <xdr:clientData/>
  </xdr:twoCellAnchor>
  <xdr:twoCellAnchor editAs="oneCell">
    <xdr:from>
      <xdr:col>5</xdr:col>
      <xdr:colOff>513521</xdr:colOff>
      <xdr:row>298</xdr:row>
      <xdr:rowOff>41413</xdr:rowOff>
    </xdr:from>
    <xdr:to>
      <xdr:col>13</xdr:col>
      <xdr:colOff>356152</xdr:colOff>
      <xdr:row>302</xdr:row>
      <xdr:rowOff>11434</xdr:rowOff>
    </xdr:to>
    <xdr:pic>
      <xdr:nvPicPr>
        <xdr:cNvPr id="23" name="Picture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0"/>
        <a:stretch>
          <a:fillRect/>
        </a:stretch>
      </xdr:blipFill>
      <xdr:spPr>
        <a:xfrm>
          <a:off x="5963478" y="57762913"/>
          <a:ext cx="4745935" cy="732021"/>
        </a:xfrm>
        <a:prstGeom prst="rect">
          <a:avLst/>
        </a:prstGeom>
      </xdr:spPr>
    </xdr:pic>
    <xdr:clientData/>
  </xdr:twoCellAnchor>
  <xdr:twoCellAnchor editAs="oneCell">
    <xdr:from>
      <xdr:col>5</xdr:col>
      <xdr:colOff>57978</xdr:colOff>
      <xdr:row>309</xdr:row>
      <xdr:rowOff>124239</xdr:rowOff>
    </xdr:from>
    <xdr:to>
      <xdr:col>14</xdr:col>
      <xdr:colOff>171822</xdr:colOff>
      <xdr:row>315</xdr:row>
      <xdr:rowOff>172030</xdr:rowOff>
    </xdr:to>
    <xdr:pic>
      <xdr:nvPicPr>
        <xdr:cNvPr id="24" name="Picture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1"/>
        <a:stretch>
          <a:fillRect/>
        </a:stretch>
      </xdr:blipFill>
      <xdr:spPr>
        <a:xfrm>
          <a:off x="5507935" y="59941239"/>
          <a:ext cx="5630061" cy="1190791"/>
        </a:xfrm>
        <a:prstGeom prst="rect">
          <a:avLst/>
        </a:prstGeom>
      </xdr:spPr>
    </xdr:pic>
    <xdr:clientData/>
  </xdr:twoCellAnchor>
  <xdr:twoCellAnchor editAs="oneCell">
    <xdr:from>
      <xdr:col>5</xdr:col>
      <xdr:colOff>16564</xdr:colOff>
      <xdr:row>320</xdr:row>
      <xdr:rowOff>24848</xdr:rowOff>
    </xdr:from>
    <xdr:to>
      <xdr:col>10</xdr:col>
      <xdr:colOff>414922</xdr:colOff>
      <xdr:row>338</xdr:row>
      <xdr:rowOff>115957</xdr:rowOff>
    </xdr:to>
    <xdr:pic>
      <xdr:nvPicPr>
        <xdr:cNvPr id="25" name="Picture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22"/>
        <a:stretch>
          <a:fillRect/>
        </a:stretch>
      </xdr:blipFill>
      <xdr:spPr>
        <a:xfrm>
          <a:off x="5466521" y="61937348"/>
          <a:ext cx="3462923" cy="3520109"/>
        </a:xfrm>
        <a:prstGeom prst="rect">
          <a:avLst/>
        </a:prstGeom>
      </xdr:spPr>
    </xdr:pic>
    <xdr:clientData/>
  </xdr:twoCellAnchor>
  <xdr:twoCellAnchor editAs="oneCell">
    <xdr:from>
      <xdr:col>3</xdr:col>
      <xdr:colOff>704021</xdr:colOff>
      <xdr:row>350</xdr:row>
      <xdr:rowOff>24848</xdr:rowOff>
    </xdr:from>
    <xdr:to>
      <xdr:col>17</xdr:col>
      <xdr:colOff>445705</xdr:colOff>
      <xdr:row>365</xdr:row>
      <xdr:rowOff>107674</xdr:rowOff>
    </xdr:to>
    <xdr:pic>
      <xdr:nvPicPr>
        <xdr:cNvPr id="26" name="Picture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23"/>
        <a:stretch>
          <a:fillRect/>
        </a:stretch>
      </xdr:blipFill>
      <xdr:spPr>
        <a:xfrm>
          <a:off x="4613412" y="67652348"/>
          <a:ext cx="8637206" cy="2940326"/>
        </a:xfrm>
        <a:prstGeom prst="rect">
          <a:avLst/>
        </a:prstGeom>
      </xdr:spPr>
    </xdr:pic>
    <xdr:clientData/>
  </xdr:twoCellAnchor>
  <xdr:twoCellAnchor editAs="oneCell">
    <xdr:from>
      <xdr:col>8</xdr:col>
      <xdr:colOff>240195</xdr:colOff>
      <xdr:row>369</xdr:row>
      <xdr:rowOff>74545</xdr:rowOff>
    </xdr:from>
    <xdr:to>
      <xdr:col>18</xdr:col>
      <xdr:colOff>405847</xdr:colOff>
      <xdr:row>390</xdr:row>
      <xdr:rowOff>178632</xdr:rowOff>
    </xdr:to>
    <xdr:pic>
      <xdr:nvPicPr>
        <xdr:cNvPr id="27" name="Picture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24"/>
        <a:stretch>
          <a:fillRect/>
        </a:stretch>
      </xdr:blipFill>
      <xdr:spPr>
        <a:xfrm>
          <a:off x="7528891" y="70369045"/>
          <a:ext cx="6294782" cy="4104587"/>
        </a:xfrm>
        <a:prstGeom prst="rect">
          <a:avLst/>
        </a:prstGeom>
      </xdr:spPr>
    </xdr:pic>
    <xdr:clientData/>
  </xdr:twoCellAnchor>
  <xdr:twoCellAnchor editAs="oneCell">
    <xdr:from>
      <xdr:col>6</xdr:col>
      <xdr:colOff>289889</xdr:colOff>
      <xdr:row>455</xdr:row>
      <xdr:rowOff>107675</xdr:rowOff>
    </xdr:from>
    <xdr:to>
      <xdr:col>12</xdr:col>
      <xdr:colOff>463826</xdr:colOff>
      <xdr:row>461</xdr:row>
      <xdr:rowOff>177637</xdr:rowOff>
    </xdr:to>
    <xdr:pic>
      <xdr:nvPicPr>
        <xdr:cNvPr id="9" name="Pictur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25"/>
        <a:stretch>
          <a:fillRect/>
        </a:stretch>
      </xdr:blipFill>
      <xdr:spPr>
        <a:xfrm>
          <a:off x="6352759" y="86826588"/>
          <a:ext cx="3851415" cy="1212962"/>
        </a:xfrm>
        <a:prstGeom prst="rect">
          <a:avLst/>
        </a:prstGeom>
      </xdr:spPr>
    </xdr:pic>
    <xdr:clientData/>
  </xdr:twoCellAnchor>
  <xdr:twoCellAnchor editAs="oneCell">
    <xdr:from>
      <xdr:col>2</xdr:col>
      <xdr:colOff>1010478</xdr:colOff>
      <xdr:row>465</xdr:row>
      <xdr:rowOff>173935</xdr:rowOff>
    </xdr:from>
    <xdr:to>
      <xdr:col>8</xdr:col>
      <xdr:colOff>173263</xdr:colOff>
      <xdr:row>481</xdr:row>
      <xdr:rowOff>16566</xdr:rowOff>
    </xdr:to>
    <xdr:pic>
      <xdr:nvPicPr>
        <xdr:cNvPr id="21" name="Pictur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26"/>
        <a:stretch>
          <a:fillRect/>
        </a:stretch>
      </xdr:blipFill>
      <xdr:spPr>
        <a:xfrm>
          <a:off x="3793435" y="88416848"/>
          <a:ext cx="3668524" cy="2890631"/>
        </a:xfrm>
        <a:prstGeom prst="rect">
          <a:avLst/>
        </a:prstGeom>
      </xdr:spPr>
    </xdr:pic>
    <xdr:clientData/>
  </xdr:twoCellAnchor>
  <xdr:twoCellAnchor editAs="oneCell">
    <xdr:from>
      <xdr:col>3</xdr:col>
      <xdr:colOff>554936</xdr:colOff>
      <xdr:row>503</xdr:row>
      <xdr:rowOff>107674</xdr:rowOff>
    </xdr:from>
    <xdr:to>
      <xdr:col>13</xdr:col>
      <xdr:colOff>193144</xdr:colOff>
      <xdr:row>514</xdr:row>
      <xdr:rowOff>16566</xdr:rowOff>
    </xdr:to>
    <xdr:pic>
      <xdr:nvPicPr>
        <xdr:cNvPr id="29" name="Picture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27"/>
        <a:stretch>
          <a:fillRect/>
        </a:stretch>
      </xdr:blipFill>
      <xdr:spPr>
        <a:xfrm>
          <a:off x="4464327" y="95780087"/>
          <a:ext cx="6082078" cy="2004392"/>
        </a:xfrm>
        <a:prstGeom prst="rect">
          <a:avLst/>
        </a:prstGeom>
      </xdr:spPr>
    </xdr:pic>
    <xdr:clientData/>
  </xdr:twoCellAnchor>
  <xdr:twoCellAnchor editAs="oneCell">
    <xdr:from>
      <xdr:col>4</xdr:col>
      <xdr:colOff>596349</xdr:colOff>
      <xdr:row>528</xdr:row>
      <xdr:rowOff>115957</xdr:rowOff>
    </xdr:from>
    <xdr:to>
      <xdr:col>16</xdr:col>
      <xdr:colOff>290876</xdr:colOff>
      <xdr:row>532</xdr:row>
      <xdr:rowOff>182748</xdr:rowOff>
    </xdr:to>
    <xdr:pic>
      <xdr:nvPicPr>
        <xdr:cNvPr id="30" name="Picture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28"/>
        <a:stretch>
          <a:fillRect/>
        </a:stretch>
      </xdr:blipFill>
      <xdr:spPr>
        <a:xfrm>
          <a:off x="5433392" y="100741370"/>
          <a:ext cx="7049484" cy="828791"/>
        </a:xfrm>
        <a:prstGeom prst="rect">
          <a:avLst/>
        </a:prstGeom>
      </xdr:spPr>
    </xdr:pic>
    <xdr:clientData/>
  </xdr:twoCellAnchor>
  <xdr:twoCellAnchor editAs="oneCell">
    <xdr:from>
      <xdr:col>3</xdr:col>
      <xdr:colOff>902806</xdr:colOff>
      <xdr:row>537</xdr:row>
      <xdr:rowOff>173936</xdr:rowOff>
    </xdr:from>
    <xdr:to>
      <xdr:col>12</xdr:col>
      <xdr:colOff>563218</xdr:colOff>
      <xdr:row>548</xdr:row>
      <xdr:rowOff>80216</xdr:rowOff>
    </xdr:to>
    <xdr:pic>
      <xdr:nvPicPr>
        <xdr:cNvPr id="32" name="Picture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29"/>
        <a:stretch>
          <a:fillRect/>
        </a:stretch>
      </xdr:blipFill>
      <xdr:spPr>
        <a:xfrm>
          <a:off x="4812197" y="102513849"/>
          <a:ext cx="5491369" cy="2001780"/>
        </a:xfrm>
        <a:prstGeom prst="rect">
          <a:avLst/>
        </a:prstGeom>
      </xdr:spPr>
    </xdr:pic>
    <xdr:clientData/>
  </xdr:twoCellAnchor>
  <xdr:twoCellAnchor editAs="oneCell">
    <xdr:from>
      <xdr:col>5</xdr:col>
      <xdr:colOff>0</xdr:colOff>
      <xdr:row>554</xdr:row>
      <xdr:rowOff>0</xdr:rowOff>
    </xdr:from>
    <xdr:to>
      <xdr:col>18</xdr:col>
      <xdr:colOff>110458</xdr:colOff>
      <xdr:row>560</xdr:row>
      <xdr:rowOff>124002</xdr:rowOff>
    </xdr:to>
    <xdr:pic>
      <xdr:nvPicPr>
        <xdr:cNvPr id="33" name="Pictur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30"/>
        <a:stretch>
          <a:fillRect/>
        </a:stretch>
      </xdr:blipFill>
      <xdr:spPr>
        <a:xfrm>
          <a:off x="5449957" y="105578413"/>
          <a:ext cx="8078327" cy="126700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561975</xdr:colOff>
      <xdr:row>8</xdr:row>
      <xdr:rowOff>114300</xdr:rowOff>
    </xdr:from>
    <xdr:to>
      <xdr:col>24</xdr:col>
      <xdr:colOff>55181</xdr:colOff>
      <xdr:row>24</xdr:row>
      <xdr:rowOff>6626</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6048375" y="1638300"/>
          <a:ext cx="8637206" cy="2940326"/>
        </a:xfrm>
        <a:prstGeom prst="rect">
          <a:avLst/>
        </a:prstGeom>
      </xdr:spPr>
    </xdr:pic>
    <xdr:clientData/>
  </xdr:twoCellAnchor>
  <xdr:twoCellAnchor editAs="oneCell">
    <xdr:from>
      <xdr:col>9</xdr:col>
      <xdr:colOff>333375</xdr:colOff>
      <xdr:row>54</xdr:row>
      <xdr:rowOff>85725</xdr:rowOff>
    </xdr:from>
    <xdr:to>
      <xdr:col>17</xdr:col>
      <xdr:colOff>267110</xdr:colOff>
      <xdr:row>78</xdr:row>
      <xdr:rowOff>114300</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6191250" y="10372725"/>
          <a:ext cx="4810535" cy="4600575"/>
        </a:xfrm>
        <a:prstGeom prst="rect">
          <a:avLst/>
        </a:prstGeom>
      </xdr:spPr>
    </xdr:pic>
    <xdr:clientData/>
  </xdr:twoCellAnchor>
  <xdr:twoCellAnchor editAs="oneCell">
    <xdr:from>
      <xdr:col>9</xdr:col>
      <xdr:colOff>504825</xdr:colOff>
      <xdr:row>43</xdr:row>
      <xdr:rowOff>85725</xdr:rowOff>
    </xdr:from>
    <xdr:to>
      <xdr:col>21</xdr:col>
      <xdr:colOff>543951</xdr:colOff>
      <xdr:row>47</xdr:row>
      <xdr:rowOff>66779</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6362700" y="8277225"/>
          <a:ext cx="7354326" cy="743054"/>
        </a:xfrm>
        <a:prstGeom prst="rect">
          <a:avLst/>
        </a:prstGeom>
      </xdr:spPr>
    </xdr:pic>
    <xdr:clientData/>
  </xdr:twoCellAnchor>
  <xdr:twoCellAnchor editAs="oneCell">
    <xdr:from>
      <xdr:col>9</xdr:col>
      <xdr:colOff>447675</xdr:colOff>
      <xdr:row>47</xdr:row>
      <xdr:rowOff>28575</xdr:rowOff>
    </xdr:from>
    <xdr:to>
      <xdr:col>21</xdr:col>
      <xdr:colOff>582065</xdr:colOff>
      <xdr:row>54</xdr:row>
      <xdr:rowOff>114498</xdr:rowOff>
    </xdr:to>
    <xdr:pic>
      <xdr:nvPicPr>
        <xdr:cNvPr id="5" name="Picture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4"/>
        <a:stretch>
          <a:fillRect/>
        </a:stretch>
      </xdr:blipFill>
      <xdr:spPr>
        <a:xfrm>
          <a:off x="6305550" y="8982075"/>
          <a:ext cx="7449590" cy="1419423"/>
        </a:xfrm>
        <a:prstGeom prst="rect">
          <a:avLst/>
        </a:prstGeom>
      </xdr:spPr>
    </xdr:pic>
    <xdr:clientData/>
  </xdr:twoCellAnchor>
  <xdr:twoCellAnchor editAs="oneCell">
    <xdr:from>
      <xdr:col>8</xdr:col>
      <xdr:colOff>152400</xdr:colOff>
      <xdr:row>86</xdr:row>
      <xdr:rowOff>57150</xdr:rowOff>
    </xdr:from>
    <xdr:to>
      <xdr:col>15</xdr:col>
      <xdr:colOff>561975</xdr:colOff>
      <xdr:row>97</xdr:row>
      <xdr:rowOff>81241</xdr:rowOff>
    </xdr:to>
    <xdr:pic>
      <xdr:nvPicPr>
        <xdr:cNvPr id="6" name="Pictur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a:stretch>
          <a:fillRect/>
        </a:stretch>
      </xdr:blipFill>
      <xdr:spPr>
        <a:xfrm>
          <a:off x="5400675" y="16440150"/>
          <a:ext cx="4676775" cy="2119591"/>
        </a:xfrm>
        <a:prstGeom prst="rect">
          <a:avLst/>
        </a:prstGeom>
      </xdr:spPr>
    </xdr:pic>
    <xdr:clientData/>
  </xdr:twoCellAnchor>
  <xdr:twoCellAnchor editAs="oneCell">
    <xdr:from>
      <xdr:col>10</xdr:col>
      <xdr:colOff>257175</xdr:colOff>
      <xdr:row>105</xdr:row>
      <xdr:rowOff>152400</xdr:rowOff>
    </xdr:from>
    <xdr:to>
      <xdr:col>19</xdr:col>
      <xdr:colOff>515152</xdr:colOff>
      <xdr:row>119</xdr:row>
      <xdr:rowOff>351</xdr:rowOff>
    </xdr:to>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tretch>
          <a:fillRect/>
        </a:stretch>
      </xdr:blipFill>
      <xdr:spPr>
        <a:xfrm>
          <a:off x="6724650" y="20154900"/>
          <a:ext cx="5744377" cy="2514951"/>
        </a:xfrm>
        <a:prstGeom prst="rect">
          <a:avLst/>
        </a:prstGeom>
      </xdr:spPr>
    </xdr:pic>
    <xdr:clientData/>
  </xdr:twoCellAnchor>
  <xdr:twoCellAnchor editAs="oneCell">
    <xdr:from>
      <xdr:col>7</xdr:col>
      <xdr:colOff>470155</xdr:colOff>
      <xdr:row>124</xdr:row>
      <xdr:rowOff>38101</xdr:rowOff>
    </xdr:from>
    <xdr:to>
      <xdr:col>9</xdr:col>
      <xdr:colOff>552450</xdr:colOff>
      <xdr:row>133</xdr:row>
      <xdr:rowOff>114589</xdr:rowOff>
    </xdr:to>
    <xdr:pic>
      <xdr:nvPicPr>
        <xdr:cNvPr id="8" name="Picture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tretch>
          <a:fillRect/>
        </a:stretch>
      </xdr:blipFill>
      <xdr:spPr>
        <a:xfrm>
          <a:off x="5108830" y="23660101"/>
          <a:ext cx="1301495" cy="1790988"/>
        </a:xfrm>
        <a:prstGeom prst="rect">
          <a:avLst/>
        </a:prstGeom>
      </xdr:spPr>
    </xdr:pic>
    <xdr:clientData/>
  </xdr:twoCellAnchor>
  <xdr:twoCellAnchor editAs="oneCell">
    <xdr:from>
      <xdr:col>8</xdr:col>
      <xdr:colOff>304800</xdr:colOff>
      <xdr:row>137</xdr:row>
      <xdr:rowOff>104775</xdr:rowOff>
    </xdr:from>
    <xdr:to>
      <xdr:col>27</xdr:col>
      <xdr:colOff>324648</xdr:colOff>
      <xdr:row>153</xdr:row>
      <xdr:rowOff>38100</xdr:rowOff>
    </xdr:to>
    <xdr:pic>
      <xdr:nvPicPr>
        <xdr:cNvPr id="9" name="Picture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8"/>
        <a:stretch>
          <a:fillRect/>
        </a:stretch>
      </xdr:blipFill>
      <xdr:spPr>
        <a:xfrm>
          <a:off x="5553075" y="27917775"/>
          <a:ext cx="11602248" cy="2981325"/>
        </a:xfrm>
        <a:prstGeom prst="rect">
          <a:avLst/>
        </a:prstGeom>
      </xdr:spPr>
    </xdr:pic>
    <xdr:clientData/>
  </xdr:twoCellAnchor>
  <xdr:twoCellAnchor editAs="oneCell">
    <xdr:from>
      <xdr:col>9</xdr:col>
      <xdr:colOff>457201</xdr:colOff>
      <xdr:row>158</xdr:row>
      <xdr:rowOff>133352</xdr:rowOff>
    </xdr:from>
    <xdr:to>
      <xdr:col>11</xdr:col>
      <xdr:colOff>367277</xdr:colOff>
      <xdr:row>166</xdr:row>
      <xdr:rowOff>47626</xdr:rowOff>
    </xdr:to>
    <xdr:pic>
      <xdr:nvPicPr>
        <xdr:cNvPr id="10" name="Picture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9"/>
        <a:stretch>
          <a:fillRect/>
        </a:stretch>
      </xdr:blipFill>
      <xdr:spPr>
        <a:xfrm>
          <a:off x="6315076" y="31946852"/>
          <a:ext cx="1129276" cy="1438274"/>
        </a:xfrm>
        <a:prstGeom prst="rect">
          <a:avLst/>
        </a:prstGeom>
      </xdr:spPr>
    </xdr:pic>
    <xdr:clientData/>
  </xdr:twoCellAnchor>
  <xdr:twoCellAnchor editAs="oneCell">
    <xdr:from>
      <xdr:col>6</xdr:col>
      <xdr:colOff>419100</xdr:colOff>
      <xdr:row>173</xdr:row>
      <xdr:rowOff>180976</xdr:rowOff>
    </xdr:from>
    <xdr:to>
      <xdr:col>16</xdr:col>
      <xdr:colOff>257405</xdr:colOff>
      <xdr:row>203</xdr:row>
      <xdr:rowOff>76200</xdr:rowOff>
    </xdr:to>
    <xdr:pic>
      <xdr:nvPicPr>
        <xdr:cNvPr id="11" name="Picture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0"/>
        <a:stretch>
          <a:fillRect/>
        </a:stretch>
      </xdr:blipFill>
      <xdr:spPr>
        <a:xfrm>
          <a:off x="4448175" y="34851976"/>
          <a:ext cx="5934305" cy="5610224"/>
        </a:xfrm>
        <a:prstGeom prst="rect">
          <a:avLst/>
        </a:prstGeom>
      </xdr:spPr>
    </xdr:pic>
    <xdr:clientData/>
  </xdr:twoCellAnchor>
  <xdr:twoCellAnchor editAs="oneCell">
    <xdr:from>
      <xdr:col>7</xdr:col>
      <xdr:colOff>495299</xdr:colOff>
      <xdr:row>267</xdr:row>
      <xdr:rowOff>1834</xdr:rowOff>
    </xdr:from>
    <xdr:to>
      <xdr:col>23</xdr:col>
      <xdr:colOff>333374</xdr:colOff>
      <xdr:row>287</xdr:row>
      <xdr:rowOff>88119</xdr:rowOff>
    </xdr:to>
    <xdr:pic>
      <xdr:nvPicPr>
        <xdr:cNvPr id="12" name="Picture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1"/>
        <a:stretch>
          <a:fillRect/>
        </a:stretch>
      </xdr:blipFill>
      <xdr:spPr>
        <a:xfrm>
          <a:off x="5133974" y="52636984"/>
          <a:ext cx="9591675" cy="3896285"/>
        </a:xfrm>
        <a:prstGeom prst="rect">
          <a:avLst/>
        </a:prstGeom>
      </xdr:spPr>
    </xdr:pic>
    <xdr:clientData/>
  </xdr:twoCellAnchor>
  <xdr:twoCellAnchor editAs="oneCell">
    <xdr:from>
      <xdr:col>7</xdr:col>
      <xdr:colOff>600075</xdr:colOff>
      <xdr:row>324</xdr:row>
      <xdr:rowOff>142875</xdr:rowOff>
    </xdr:from>
    <xdr:to>
      <xdr:col>20</xdr:col>
      <xdr:colOff>477339</xdr:colOff>
      <xdr:row>341</xdr:row>
      <xdr:rowOff>105222</xdr:rowOff>
    </xdr:to>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a:stretch>
          <a:fillRect/>
        </a:stretch>
      </xdr:blipFill>
      <xdr:spPr>
        <a:xfrm>
          <a:off x="5238750" y="63446025"/>
          <a:ext cx="7802064" cy="3200847"/>
        </a:xfrm>
        <a:prstGeom prst="rect">
          <a:avLst/>
        </a:prstGeom>
      </xdr:spPr>
    </xdr:pic>
    <xdr:clientData/>
  </xdr:twoCellAnchor>
  <xdr:twoCellAnchor editAs="oneCell">
    <xdr:from>
      <xdr:col>9</xdr:col>
      <xdr:colOff>95251</xdr:colOff>
      <xdr:row>355</xdr:row>
      <xdr:rowOff>19050</xdr:rowOff>
    </xdr:from>
    <xdr:to>
      <xdr:col>17</xdr:col>
      <xdr:colOff>284487</xdr:colOff>
      <xdr:row>379</xdr:row>
      <xdr:rowOff>142875</xdr:rowOff>
    </xdr:to>
    <xdr:pic>
      <xdr:nvPicPr>
        <xdr:cNvPr id="15" name="Picture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a:stretch>
          <a:fillRect/>
        </a:stretch>
      </xdr:blipFill>
      <xdr:spPr>
        <a:xfrm>
          <a:off x="5953126" y="69227700"/>
          <a:ext cx="5066036" cy="4695825"/>
        </a:xfrm>
        <a:prstGeom prst="rect">
          <a:avLst/>
        </a:prstGeom>
      </xdr:spPr>
    </xdr:pic>
    <xdr:clientData/>
  </xdr:twoCellAnchor>
  <xdr:twoCellAnchor editAs="oneCell">
    <xdr:from>
      <xdr:col>9</xdr:col>
      <xdr:colOff>542925</xdr:colOff>
      <xdr:row>384</xdr:row>
      <xdr:rowOff>38101</xdr:rowOff>
    </xdr:from>
    <xdr:to>
      <xdr:col>15</xdr:col>
      <xdr:colOff>390525</xdr:colOff>
      <xdr:row>394</xdr:row>
      <xdr:rowOff>148591</xdr:rowOff>
    </xdr:to>
    <xdr:pic>
      <xdr:nvPicPr>
        <xdr:cNvPr id="16" name="Picture 15">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14"/>
        <a:stretch>
          <a:fillRect/>
        </a:stretch>
      </xdr:blipFill>
      <xdr:spPr>
        <a:xfrm>
          <a:off x="6400800" y="74961751"/>
          <a:ext cx="3505200" cy="2015490"/>
        </a:xfrm>
        <a:prstGeom prst="rect">
          <a:avLst/>
        </a:prstGeom>
      </xdr:spPr>
    </xdr:pic>
    <xdr:clientData/>
  </xdr:twoCellAnchor>
  <xdr:twoCellAnchor editAs="oneCell">
    <xdr:from>
      <xdr:col>7</xdr:col>
      <xdr:colOff>200025</xdr:colOff>
      <xdr:row>401</xdr:row>
      <xdr:rowOff>66675</xdr:rowOff>
    </xdr:from>
    <xdr:to>
      <xdr:col>17</xdr:col>
      <xdr:colOff>86560</xdr:colOff>
      <xdr:row>412</xdr:row>
      <xdr:rowOff>57441</xdr:rowOff>
    </xdr:to>
    <xdr:pic>
      <xdr:nvPicPr>
        <xdr:cNvPr id="17" name="Picture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5"/>
        <a:stretch>
          <a:fillRect/>
        </a:stretch>
      </xdr:blipFill>
      <xdr:spPr>
        <a:xfrm>
          <a:off x="4838700" y="78228825"/>
          <a:ext cx="5982535" cy="208626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514350</xdr:colOff>
      <xdr:row>9</xdr:row>
      <xdr:rowOff>66675</xdr:rowOff>
    </xdr:from>
    <xdr:to>
      <xdr:col>18</xdr:col>
      <xdr:colOff>381000</xdr:colOff>
      <xdr:row>41</xdr:row>
      <xdr:rowOff>50029</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3990975" y="1781175"/>
          <a:ext cx="8401050" cy="6079354"/>
        </a:xfrm>
        <a:prstGeom prst="rect">
          <a:avLst/>
        </a:prstGeom>
      </xdr:spPr>
    </xdr:pic>
    <xdr:clientData/>
  </xdr:twoCellAnchor>
  <xdr:twoCellAnchor editAs="oneCell">
    <xdr:from>
      <xdr:col>6</xdr:col>
      <xdr:colOff>542925</xdr:colOff>
      <xdr:row>49</xdr:row>
      <xdr:rowOff>66675</xdr:rowOff>
    </xdr:from>
    <xdr:to>
      <xdr:col>14</xdr:col>
      <xdr:colOff>210184</xdr:colOff>
      <xdr:row>56</xdr:row>
      <xdr:rowOff>47808</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5238750" y="9401175"/>
          <a:ext cx="4544059" cy="1314633"/>
        </a:xfrm>
        <a:prstGeom prst="rect">
          <a:avLst/>
        </a:prstGeom>
      </xdr:spPr>
    </xdr:pic>
    <xdr:clientData/>
  </xdr:twoCellAnchor>
  <xdr:twoCellAnchor editAs="oneCell">
    <xdr:from>
      <xdr:col>5</xdr:col>
      <xdr:colOff>228600</xdr:colOff>
      <xdr:row>62</xdr:row>
      <xdr:rowOff>76200</xdr:rowOff>
    </xdr:from>
    <xdr:to>
      <xdr:col>14</xdr:col>
      <xdr:colOff>209550</xdr:colOff>
      <xdr:row>72</xdr:row>
      <xdr:rowOff>66258</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4314825" y="11887200"/>
          <a:ext cx="5467350" cy="1895058"/>
        </a:xfrm>
        <a:prstGeom prst="rect">
          <a:avLst/>
        </a:prstGeom>
      </xdr:spPr>
    </xdr:pic>
    <xdr:clientData/>
  </xdr:twoCellAnchor>
  <xdr:twoCellAnchor editAs="oneCell">
    <xdr:from>
      <xdr:col>4</xdr:col>
      <xdr:colOff>333375</xdr:colOff>
      <xdr:row>85</xdr:row>
      <xdr:rowOff>38100</xdr:rowOff>
    </xdr:from>
    <xdr:to>
      <xdr:col>16</xdr:col>
      <xdr:colOff>353449</xdr:colOff>
      <xdr:row>88</xdr:row>
      <xdr:rowOff>181075</xdr:rowOff>
    </xdr:to>
    <xdr:pic>
      <xdr:nvPicPr>
        <xdr:cNvPr id="5" name="Picture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tretch>
          <a:fillRect/>
        </a:stretch>
      </xdr:blipFill>
      <xdr:spPr>
        <a:xfrm>
          <a:off x="3810000" y="16230600"/>
          <a:ext cx="7335274" cy="714475"/>
        </a:xfrm>
        <a:prstGeom prst="rect">
          <a:avLst/>
        </a:prstGeom>
      </xdr:spPr>
    </xdr:pic>
    <xdr:clientData/>
  </xdr:twoCellAnchor>
  <xdr:twoCellAnchor editAs="oneCell">
    <xdr:from>
      <xdr:col>6</xdr:col>
      <xdr:colOff>285750</xdr:colOff>
      <xdr:row>94</xdr:row>
      <xdr:rowOff>95250</xdr:rowOff>
    </xdr:from>
    <xdr:to>
      <xdr:col>14</xdr:col>
      <xdr:colOff>86378</xdr:colOff>
      <xdr:row>103</xdr:row>
      <xdr:rowOff>152647</xdr:rowOff>
    </xdr:to>
    <xdr:pic>
      <xdr:nvPicPr>
        <xdr:cNvPr id="6" name="Picture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4981575" y="18002250"/>
          <a:ext cx="4677428" cy="1771897"/>
        </a:xfrm>
        <a:prstGeom prst="rect">
          <a:avLst/>
        </a:prstGeom>
      </xdr:spPr>
    </xdr:pic>
    <xdr:clientData/>
  </xdr:twoCellAnchor>
  <xdr:twoCellAnchor editAs="oneCell">
    <xdr:from>
      <xdr:col>5</xdr:col>
      <xdr:colOff>209550</xdr:colOff>
      <xdr:row>111</xdr:row>
      <xdr:rowOff>180975</xdr:rowOff>
    </xdr:from>
    <xdr:to>
      <xdr:col>17</xdr:col>
      <xdr:colOff>229624</xdr:colOff>
      <xdr:row>122</xdr:row>
      <xdr:rowOff>95531</xdr:rowOff>
    </xdr:to>
    <xdr:pic>
      <xdr:nvPicPr>
        <xdr:cNvPr id="7" name="Picture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4295775" y="21326475"/>
          <a:ext cx="7335274" cy="201005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142875</xdr:colOff>
      <xdr:row>5</xdr:row>
      <xdr:rowOff>68945</xdr:rowOff>
    </xdr:from>
    <xdr:to>
      <xdr:col>11</xdr:col>
      <xdr:colOff>533400</xdr:colOff>
      <xdr:row>30</xdr:row>
      <xdr:rowOff>142876</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4695825" y="1021445"/>
          <a:ext cx="3438525" cy="4836431"/>
        </a:xfrm>
        <a:prstGeom prst="rect">
          <a:avLst/>
        </a:prstGeom>
      </xdr:spPr>
    </xdr:pic>
    <xdr:clientData/>
  </xdr:twoCellAnchor>
  <xdr:twoCellAnchor editAs="oneCell">
    <xdr:from>
      <xdr:col>13</xdr:col>
      <xdr:colOff>47625</xdr:colOff>
      <xdr:row>6</xdr:row>
      <xdr:rowOff>133350</xdr:rowOff>
    </xdr:from>
    <xdr:to>
      <xdr:col>21</xdr:col>
      <xdr:colOff>429359</xdr:colOff>
      <xdr:row>24</xdr:row>
      <xdr:rowOff>181460</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7972425" y="1276350"/>
          <a:ext cx="5258534" cy="3477110"/>
        </a:xfrm>
        <a:prstGeom prst="rect">
          <a:avLst/>
        </a:prstGeom>
      </xdr:spPr>
    </xdr:pic>
    <xdr:clientData/>
  </xdr:twoCellAnchor>
  <xdr:twoCellAnchor editAs="oneCell">
    <xdr:from>
      <xdr:col>4</xdr:col>
      <xdr:colOff>552450</xdr:colOff>
      <xdr:row>89</xdr:row>
      <xdr:rowOff>114300</xdr:rowOff>
    </xdr:from>
    <xdr:to>
      <xdr:col>18</xdr:col>
      <xdr:colOff>553641</xdr:colOff>
      <xdr:row>92</xdr:row>
      <xdr:rowOff>19116</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3886200" y="17125950"/>
          <a:ext cx="8535591" cy="476316"/>
        </a:xfrm>
        <a:prstGeom prst="rect">
          <a:avLst/>
        </a:prstGeom>
      </xdr:spPr>
    </xdr:pic>
    <xdr:clientData/>
  </xdr:twoCellAnchor>
  <xdr:twoCellAnchor editAs="oneCell">
    <xdr:from>
      <xdr:col>9</xdr:col>
      <xdr:colOff>66675</xdr:colOff>
      <xdr:row>101</xdr:row>
      <xdr:rowOff>95250</xdr:rowOff>
    </xdr:from>
    <xdr:to>
      <xdr:col>17</xdr:col>
      <xdr:colOff>286461</xdr:colOff>
      <xdr:row>123</xdr:row>
      <xdr:rowOff>105361</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6448425" y="19392900"/>
          <a:ext cx="5096586" cy="4201111"/>
        </a:xfrm>
        <a:prstGeom prst="rect">
          <a:avLst/>
        </a:prstGeom>
      </xdr:spPr>
    </xdr:pic>
    <xdr:clientData/>
  </xdr:twoCellAnchor>
  <xdr:twoCellAnchor editAs="oneCell">
    <xdr:from>
      <xdr:col>4</xdr:col>
      <xdr:colOff>590550</xdr:colOff>
      <xdr:row>128</xdr:row>
      <xdr:rowOff>104775</xdr:rowOff>
    </xdr:from>
    <xdr:to>
      <xdr:col>9</xdr:col>
      <xdr:colOff>450549</xdr:colOff>
      <xdr:row>154</xdr:row>
      <xdr:rowOff>96125</xdr:rowOff>
    </xdr:to>
    <xdr:pic>
      <xdr:nvPicPr>
        <xdr:cNvPr id="6" name="Picture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5"/>
        <a:stretch>
          <a:fillRect/>
        </a:stretch>
      </xdr:blipFill>
      <xdr:spPr>
        <a:xfrm>
          <a:off x="3924300" y="24545925"/>
          <a:ext cx="2907999" cy="49443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352425</xdr:colOff>
      <xdr:row>6</xdr:row>
      <xdr:rowOff>180975</xdr:rowOff>
    </xdr:from>
    <xdr:to>
      <xdr:col>19</xdr:col>
      <xdr:colOff>477659</xdr:colOff>
      <xdr:row>36</xdr:row>
      <xdr:rowOff>10299</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5114925" y="1323975"/>
          <a:ext cx="10097909" cy="5544324"/>
        </a:xfrm>
        <a:prstGeom prst="rect">
          <a:avLst/>
        </a:prstGeom>
      </xdr:spPr>
    </xdr:pic>
    <xdr:clientData/>
  </xdr:twoCellAnchor>
  <xdr:twoCellAnchor editAs="oneCell">
    <xdr:from>
      <xdr:col>4</xdr:col>
      <xdr:colOff>1076325</xdr:colOff>
      <xdr:row>40</xdr:row>
      <xdr:rowOff>152400</xdr:rowOff>
    </xdr:from>
    <xdr:to>
      <xdr:col>10</xdr:col>
      <xdr:colOff>466725</xdr:colOff>
      <xdr:row>52</xdr:row>
      <xdr:rowOff>101185</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4810125" y="7772400"/>
          <a:ext cx="5705475" cy="2234785"/>
        </a:xfrm>
        <a:prstGeom prst="rect">
          <a:avLst/>
        </a:prstGeom>
      </xdr:spPr>
    </xdr:pic>
    <xdr:clientData/>
  </xdr:twoCellAnchor>
  <xdr:twoCellAnchor editAs="oneCell">
    <xdr:from>
      <xdr:col>6</xdr:col>
      <xdr:colOff>123825</xdr:colOff>
      <xdr:row>62</xdr:row>
      <xdr:rowOff>123825</xdr:rowOff>
    </xdr:from>
    <xdr:to>
      <xdr:col>16</xdr:col>
      <xdr:colOff>401102</xdr:colOff>
      <xdr:row>87</xdr:row>
      <xdr:rowOff>124490</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5705475" y="11553825"/>
          <a:ext cx="7535327" cy="4763165"/>
        </a:xfrm>
        <a:prstGeom prst="rect">
          <a:avLst/>
        </a:prstGeom>
      </xdr:spPr>
    </xdr:pic>
    <xdr:clientData/>
  </xdr:twoCellAnchor>
  <xdr:twoCellAnchor editAs="oneCell">
    <xdr:from>
      <xdr:col>6</xdr:col>
      <xdr:colOff>85725</xdr:colOff>
      <xdr:row>92</xdr:row>
      <xdr:rowOff>123825</xdr:rowOff>
    </xdr:from>
    <xdr:to>
      <xdr:col>13</xdr:col>
      <xdr:colOff>95398</xdr:colOff>
      <xdr:row>123</xdr:row>
      <xdr:rowOff>114300</xdr:rowOff>
    </xdr:to>
    <xdr:pic>
      <xdr:nvPicPr>
        <xdr:cNvPr id="5" name="Picture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191625" y="17268825"/>
          <a:ext cx="5438923" cy="5895975"/>
        </a:xfrm>
        <a:prstGeom prst="rect">
          <a:avLst/>
        </a:prstGeom>
      </xdr:spPr>
    </xdr:pic>
    <xdr:clientData/>
  </xdr:twoCellAnchor>
  <xdr:twoCellAnchor editAs="oneCell">
    <xdr:from>
      <xdr:col>15</xdr:col>
      <xdr:colOff>38100</xdr:colOff>
      <xdr:row>92</xdr:row>
      <xdr:rowOff>180975</xdr:rowOff>
    </xdr:from>
    <xdr:to>
      <xdr:col>27</xdr:col>
      <xdr:colOff>458280</xdr:colOff>
      <xdr:row>119</xdr:row>
      <xdr:rowOff>124535</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14630400" y="17325975"/>
          <a:ext cx="7735380" cy="5087060"/>
        </a:xfrm>
        <a:prstGeom prst="rect">
          <a:avLst/>
        </a:prstGeom>
      </xdr:spPr>
    </xdr:pic>
    <xdr:clientData/>
  </xdr:twoCellAnchor>
  <xdr:twoCellAnchor editAs="oneCell">
    <xdr:from>
      <xdr:col>3</xdr:col>
      <xdr:colOff>2562225</xdr:colOff>
      <xdr:row>128</xdr:row>
      <xdr:rowOff>142876</xdr:rowOff>
    </xdr:from>
    <xdr:to>
      <xdr:col>16</xdr:col>
      <xdr:colOff>323850</xdr:colOff>
      <xdr:row>145</xdr:row>
      <xdr:rowOff>9422</xdr:rowOff>
    </xdr:to>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a:stretch>
          <a:fillRect/>
        </a:stretch>
      </xdr:blipFill>
      <xdr:spPr>
        <a:xfrm>
          <a:off x="6257925" y="24145876"/>
          <a:ext cx="10296525" cy="3105046"/>
        </a:xfrm>
        <a:prstGeom prst="rect">
          <a:avLst/>
        </a:prstGeom>
      </xdr:spPr>
    </xdr:pic>
    <xdr:clientData/>
  </xdr:twoCellAnchor>
  <xdr:twoCellAnchor editAs="oneCell">
    <xdr:from>
      <xdr:col>4</xdr:col>
      <xdr:colOff>1390650</xdr:colOff>
      <xdr:row>217</xdr:row>
      <xdr:rowOff>0</xdr:rowOff>
    </xdr:from>
    <xdr:to>
      <xdr:col>13</xdr:col>
      <xdr:colOff>467733</xdr:colOff>
      <xdr:row>239</xdr:row>
      <xdr:rowOff>105375</xdr:rowOff>
    </xdr:to>
    <xdr:pic>
      <xdr:nvPicPr>
        <xdr:cNvPr id="8" name="Pictur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7"/>
        <a:stretch>
          <a:fillRect/>
        </a:stretch>
      </xdr:blipFill>
      <xdr:spPr>
        <a:xfrm>
          <a:off x="8058150" y="41157525"/>
          <a:ext cx="7220958" cy="4296375"/>
        </a:xfrm>
        <a:prstGeom prst="rect">
          <a:avLst/>
        </a:prstGeom>
      </xdr:spPr>
    </xdr:pic>
    <xdr:clientData/>
  </xdr:twoCellAnchor>
  <xdr:twoCellAnchor editAs="oneCell">
    <xdr:from>
      <xdr:col>4</xdr:col>
      <xdr:colOff>1104900</xdr:colOff>
      <xdr:row>254</xdr:row>
      <xdr:rowOff>9525</xdr:rowOff>
    </xdr:from>
    <xdr:to>
      <xdr:col>14</xdr:col>
      <xdr:colOff>448805</xdr:colOff>
      <xdr:row>277</xdr:row>
      <xdr:rowOff>143505</xdr:rowOff>
    </xdr:to>
    <xdr:pic>
      <xdr:nvPicPr>
        <xdr:cNvPr id="9" name="Pictur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8"/>
        <a:stretch>
          <a:fillRect/>
        </a:stretch>
      </xdr:blipFill>
      <xdr:spPr>
        <a:xfrm>
          <a:off x="7772400" y="48215550"/>
          <a:ext cx="8097380" cy="4515480"/>
        </a:xfrm>
        <a:prstGeom prst="rect">
          <a:avLst/>
        </a:prstGeom>
      </xdr:spPr>
    </xdr:pic>
    <xdr:clientData/>
  </xdr:twoCellAnchor>
  <xdr:twoCellAnchor editAs="oneCell">
    <xdr:from>
      <xdr:col>3</xdr:col>
      <xdr:colOff>1857375</xdr:colOff>
      <xdr:row>310</xdr:row>
      <xdr:rowOff>28575</xdr:rowOff>
    </xdr:from>
    <xdr:to>
      <xdr:col>7</xdr:col>
      <xdr:colOff>10152</xdr:colOff>
      <xdr:row>327</xdr:row>
      <xdr:rowOff>48080</xdr:rowOff>
    </xdr:to>
    <xdr:pic>
      <xdr:nvPicPr>
        <xdr:cNvPr id="10" name="Pictur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9"/>
        <a:stretch>
          <a:fillRect/>
        </a:stretch>
      </xdr:blipFill>
      <xdr:spPr>
        <a:xfrm>
          <a:off x="5553075" y="58712100"/>
          <a:ext cx="4496427" cy="3258005"/>
        </a:xfrm>
        <a:prstGeom prst="rect">
          <a:avLst/>
        </a:prstGeom>
      </xdr:spPr>
    </xdr:pic>
    <xdr:clientData/>
  </xdr:twoCellAnchor>
  <xdr:twoCellAnchor editAs="oneCell">
    <xdr:from>
      <xdr:col>14</xdr:col>
      <xdr:colOff>542925</xdr:colOff>
      <xdr:row>333</xdr:row>
      <xdr:rowOff>114300</xdr:rowOff>
    </xdr:from>
    <xdr:to>
      <xdr:col>20</xdr:col>
      <xdr:colOff>429120</xdr:colOff>
      <xdr:row>349</xdr:row>
      <xdr:rowOff>409</xdr:rowOff>
    </xdr:to>
    <xdr:pic>
      <xdr:nvPicPr>
        <xdr:cNvPr id="11" name="Picture 10">
          <a:extLst>
            <a:ext uri="{FF2B5EF4-FFF2-40B4-BE49-F238E27FC236}">
              <a16:creationId xmlns:a16="http://schemas.microsoft.com/office/drawing/2014/main" id="{00000000-0008-0000-0500-00000B000000}"/>
            </a:ext>
          </a:extLst>
        </xdr:cNvPr>
        <xdr:cNvPicPr>
          <a:picLocks noChangeAspect="1"/>
        </xdr:cNvPicPr>
      </xdr:nvPicPr>
      <xdr:blipFill>
        <a:blip xmlns:r="http://schemas.openxmlformats.org/officeDocument/2006/relationships" r:embed="rId10"/>
        <a:stretch>
          <a:fillRect/>
        </a:stretch>
      </xdr:blipFill>
      <xdr:spPr>
        <a:xfrm>
          <a:off x="14525625" y="63369825"/>
          <a:ext cx="3543795" cy="2934109"/>
        </a:xfrm>
        <a:prstGeom prst="rect">
          <a:avLst/>
        </a:prstGeom>
      </xdr:spPr>
    </xdr:pic>
    <xdr:clientData/>
  </xdr:twoCellAnchor>
  <xdr:twoCellAnchor editAs="oneCell">
    <xdr:from>
      <xdr:col>4</xdr:col>
      <xdr:colOff>314325</xdr:colOff>
      <xdr:row>334</xdr:row>
      <xdr:rowOff>28575</xdr:rowOff>
    </xdr:from>
    <xdr:to>
      <xdr:col>12</xdr:col>
      <xdr:colOff>39113</xdr:colOff>
      <xdr:row>350</xdr:row>
      <xdr:rowOff>124264</xdr:rowOff>
    </xdr:to>
    <xdr:pic>
      <xdr:nvPicPr>
        <xdr:cNvPr id="12" name="Picture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11"/>
        <a:stretch>
          <a:fillRect/>
        </a:stretch>
      </xdr:blipFill>
      <xdr:spPr>
        <a:xfrm>
          <a:off x="6981825" y="63474600"/>
          <a:ext cx="7259063" cy="3143689"/>
        </a:xfrm>
        <a:prstGeom prst="rect">
          <a:avLst/>
        </a:prstGeom>
      </xdr:spPr>
    </xdr:pic>
    <xdr:clientData/>
  </xdr:twoCellAnchor>
  <xdr:twoCellAnchor editAs="oneCell">
    <xdr:from>
      <xdr:col>7</xdr:col>
      <xdr:colOff>371475</xdr:colOff>
      <xdr:row>378</xdr:row>
      <xdr:rowOff>38100</xdr:rowOff>
    </xdr:from>
    <xdr:to>
      <xdr:col>16</xdr:col>
      <xdr:colOff>210293</xdr:colOff>
      <xdr:row>388</xdr:row>
      <xdr:rowOff>261</xdr:rowOff>
    </xdr:to>
    <xdr:pic>
      <xdr:nvPicPr>
        <xdr:cNvPr id="14" name="Pictur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12"/>
        <a:stretch>
          <a:fillRect/>
        </a:stretch>
      </xdr:blipFill>
      <xdr:spPr>
        <a:xfrm>
          <a:off x="9010650" y="71866125"/>
          <a:ext cx="5325218" cy="1867161"/>
        </a:xfrm>
        <a:prstGeom prst="rect">
          <a:avLst/>
        </a:prstGeom>
      </xdr:spPr>
    </xdr:pic>
    <xdr:clientData/>
  </xdr:twoCellAnchor>
  <xdr:twoCellAnchor editAs="oneCell">
    <xdr:from>
      <xdr:col>8</xdr:col>
      <xdr:colOff>247650</xdr:colOff>
      <xdr:row>402</xdr:row>
      <xdr:rowOff>57150</xdr:rowOff>
    </xdr:from>
    <xdr:to>
      <xdr:col>16</xdr:col>
      <xdr:colOff>448384</xdr:colOff>
      <xdr:row>412</xdr:row>
      <xdr:rowOff>9784</xdr:rowOff>
    </xdr:to>
    <xdr:pic>
      <xdr:nvPicPr>
        <xdr:cNvPr id="15" name="Picture 14">
          <a:extLst>
            <a:ext uri="{FF2B5EF4-FFF2-40B4-BE49-F238E27FC236}">
              <a16:creationId xmlns:a16="http://schemas.microsoft.com/office/drawing/2014/main" id="{00000000-0008-0000-0500-00000F000000}"/>
            </a:ext>
          </a:extLst>
        </xdr:cNvPr>
        <xdr:cNvPicPr>
          <a:picLocks noChangeAspect="1"/>
        </xdr:cNvPicPr>
      </xdr:nvPicPr>
      <xdr:blipFill>
        <a:blip xmlns:r="http://schemas.openxmlformats.org/officeDocument/2006/relationships" r:embed="rId13"/>
        <a:stretch>
          <a:fillRect/>
        </a:stretch>
      </xdr:blipFill>
      <xdr:spPr>
        <a:xfrm>
          <a:off x="9496425" y="76457175"/>
          <a:ext cx="5077534" cy="1857634"/>
        </a:xfrm>
        <a:prstGeom prst="rect">
          <a:avLst/>
        </a:prstGeom>
      </xdr:spPr>
    </xdr:pic>
    <xdr:clientData/>
  </xdr:twoCellAnchor>
  <xdr:twoCellAnchor editAs="oneCell">
    <xdr:from>
      <xdr:col>7</xdr:col>
      <xdr:colOff>352425</xdr:colOff>
      <xdr:row>391</xdr:row>
      <xdr:rowOff>152400</xdr:rowOff>
    </xdr:from>
    <xdr:to>
      <xdr:col>15</xdr:col>
      <xdr:colOff>381685</xdr:colOff>
      <xdr:row>399</xdr:row>
      <xdr:rowOff>85928</xdr:rowOff>
    </xdr:to>
    <xdr:pic>
      <xdr:nvPicPr>
        <xdr:cNvPr id="16" name="Picture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14"/>
        <a:stretch>
          <a:fillRect/>
        </a:stretch>
      </xdr:blipFill>
      <xdr:spPr>
        <a:xfrm>
          <a:off x="8991600" y="74456925"/>
          <a:ext cx="4906060" cy="1457528"/>
        </a:xfrm>
        <a:prstGeom prst="rect">
          <a:avLst/>
        </a:prstGeom>
      </xdr:spPr>
    </xdr:pic>
    <xdr:clientData/>
  </xdr:twoCellAnchor>
  <xdr:twoCellAnchor editAs="oneCell">
    <xdr:from>
      <xdr:col>7</xdr:col>
      <xdr:colOff>409575</xdr:colOff>
      <xdr:row>367</xdr:row>
      <xdr:rowOff>9525</xdr:rowOff>
    </xdr:from>
    <xdr:to>
      <xdr:col>15</xdr:col>
      <xdr:colOff>505519</xdr:colOff>
      <xdr:row>375</xdr:row>
      <xdr:rowOff>133580</xdr:rowOff>
    </xdr:to>
    <xdr:pic>
      <xdr:nvPicPr>
        <xdr:cNvPr id="17" name="Pictur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15"/>
        <a:stretch>
          <a:fillRect/>
        </a:stretch>
      </xdr:blipFill>
      <xdr:spPr>
        <a:xfrm>
          <a:off x="9048750" y="69742050"/>
          <a:ext cx="4972744" cy="1648055"/>
        </a:xfrm>
        <a:prstGeom prst="rect">
          <a:avLst/>
        </a:prstGeom>
      </xdr:spPr>
    </xdr:pic>
    <xdr:clientData/>
  </xdr:twoCellAnchor>
  <xdr:twoCellAnchor editAs="oneCell">
    <xdr:from>
      <xdr:col>4</xdr:col>
      <xdr:colOff>1095375</xdr:colOff>
      <xdr:row>423</xdr:row>
      <xdr:rowOff>47625</xdr:rowOff>
    </xdr:from>
    <xdr:to>
      <xdr:col>11</xdr:col>
      <xdr:colOff>200867</xdr:colOff>
      <xdr:row>436</xdr:row>
      <xdr:rowOff>162287</xdr:rowOff>
    </xdr:to>
    <xdr:pic>
      <xdr:nvPicPr>
        <xdr:cNvPr id="18" name="Picture 17">
          <a:extLst>
            <a:ext uri="{FF2B5EF4-FFF2-40B4-BE49-F238E27FC236}">
              <a16:creationId xmlns:a16="http://schemas.microsoft.com/office/drawing/2014/main" id="{00000000-0008-0000-0500-000012000000}"/>
            </a:ext>
          </a:extLst>
        </xdr:cNvPr>
        <xdr:cNvPicPr>
          <a:picLocks noChangeAspect="1"/>
        </xdr:cNvPicPr>
      </xdr:nvPicPr>
      <xdr:blipFill>
        <a:blip xmlns:r="http://schemas.openxmlformats.org/officeDocument/2006/relationships" r:embed="rId16"/>
        <a:stretch>
          <a:fillRect/>
        </a:stretch>
      </xdr:blipFill>
      <xdr:spPr>
        <a:xfrm>
          <a:off x="6686550" y="80448150"/>
          <a:ext cx="6030167" cy="2591162"/>
        </a:xfrm>
        <a:prstGeom prst="rect">
          <a:avLst/>
        </a:prstGeom>
      </xdr:spPr>
    </xdr:pic>
    <xdr:clientData/>
  </xdr:twoCellAnchor>
  <xdr:twoCellAnchor editAs="oneCell">
    <xdr:from>
      <xdr:col>5</xdr:col>
      <xdr:colOff>0</xdr:colOff>
      <xdr:row>448</xdr:row>
      <xdr:rowOff>171450</xdr:rowOff>
    </xdr:from>
    <xdr:to>
      <xdr:col>13</xdr:col>
      <xdr:colOff>534356</xdr:colOff>
      <xdr:row>454</xdr:row>
      <xdr:rowOff>9662</xdr:rowOff>
    </xdr:to>
    <xdr:pic>
      <xdr:nvPicPr>
        <xdr:cNvPr id="19" name="Pictur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17"/>
        <a:stretch>
          <a:fillRect/>
        </a:stretch>
      </xdr:blipFill>
      <xdr:spPr>
        <a:xfrm>
          <a:off x="7419975" y="85334475"/>
          <a:ext cx="6849431" cy="981212"/>
        </a:xfrm>
        <a:prstGeom prst="rect">
          <a:avLst/>
        </a:prstGeom>
      </xdr:spPr>
    </xdr:pic>
    <xdr:clientData/>
  </xdr:twoCellAnchor>
  <xdr:twoCellAnchor editAs="oneCell">
    <xdr:from>
      <xdr:col>4</xdr:col>
      <xdr:colOff>1809750</xdr:colOff>
      <xdr:row>453</xdr:row>
      <xdr:rowOff>180975</xdr:rowOff>
    </xdr:from>
    <xdr:to>
      <xdr:col>9</xdr:col>
      <xdr:colOff>544</xdr:colOff>
      <xdr:row>464</xdr:row>
      <xdr:rowOff>66952</xdr:rowOff>
    </xdr:to>
    <xdr:pic>
      <xdr:nvPicPr>
        <xdr:cNvPr id="20" name="Picture 19">
          <a:extLst>
            <a:ext uri="{FF2B5EF4-FFF2-40B4-BE49-F238E27FC236}">
              <a16:creationId xmlns:a16="http://schemas.microsoft.com/office/drawing/2014/main" id="{00000000-0008-0000-0500-000014000000}"/>
            </a:ext>
          </a:extLst>
        </xdr:cNvPr>
        <xdr:cNvPicPr>
          <a:picLocks noChangeAspect="1"/>
        </xdr:cNvPicPr>
      </xdr:nvPicPr>
      <xdr:blipFill>
        <a:blip xmlns:r="http://schemas.openxmlformats.org/officeDocument/2006/relationships" r:embed="rId18"/>
        <a:stretch>
          <a:fillRect/>
        </a:stretch>
      </xdr:blipFill>
      <xdr:spPr>
        <a:xfrm>
          <a:off x="7400925" y="86296500"/>
          <a:ext cx="3896269" cy="1981477"/>
        </a:xfrm>
        <a:prstGeom prst="rect">
          <a:avLst/>
        </a:prstGeom>
      </xdr:spPr>
    </xdr:pic>
    <xdr:clientData/>
  </xdr:twoCellAnchor>
  <xdr:twoCellAnchor editAs="oneCell">
    <xdr:from>
      <xdr:col>4</xdr:col>
      <xdr:colOff>1066800</xdr:colOff>
      <xdr:row>471</xdr:row>
      <xdr:rowOff>123825</xdr:rowOff>
    </xdr:from>
    <xdr:to>
      <xdr:col>11</xdr:col>
      <xdr:colOff>115134</xdr:colOff>
      <xdr:row>497</xdr:row>
      <xdr:rowOff>172148</xdr:rowOff>
    </xdr:to>
    <xdr:pic>
      <xdr:nvPicPr>
        <xdr:cNvPr id="21" name="Pictur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9"/>
        <a:stretch>
          <a:fillRect/>
        </a:stretch>
      </xdr:blipFill>
      <xdr:spPr>
        <a:xfrm>
          <a:off x="6657975" y="89668350"/>
          <a:ext cx="5973009" cy="5001323"/>
        </a:xfrm>
        <a:prstGeom prst="rect">
          <a:avLst/>
        </a:prstGeom>
      </xdr:spPr>
    </xdr:pic>
    <xdr:clientData/>
  </xdr:twoCellAnchor>
  <xdr:twoCellAnchor editAs="oneCell">
    <xdr:from>
      <xdr:col>4</xdr:col>
      <xdr:colOff>114300</xdr:colOff>
      <xdr:row>513</xdr:row>
      <xdr:rowOff>114300</xdr:rowOff>
    </xdr:from>
    <xdr:to>
      <xdr:col>12</xdr:col>
      <xdr:colOff>401141</xdr:colOff>
      <xdr:row>531</xdr:row>
      <xdr:rowOff>162410</xdr:rowOff>
    </xdr:to>
    <xdr:pic>
      <xdr:nvPicPr>
        <xdr:cNvPr id="22" name="Picture 21">
          <a:extLst>
            <a:ext uri="{FF2B5EF4-FFF2-40B4-BE49-F238E27FC236}">
              <a16:creationId xmlns:a16="http://schemas.microsoft.com/office/drawing/2014/main" id="{00000000-0008-0000-0500-000016000000}"/>
            </a:ext>
          </a:extLst>
        </xdr:cNvPr>
        <xdr:cNvPicPr>
          <a:picLocks noChangeAspect="1"/>
        </xdr:cNvPicPr>
      </xdr:nvPicPr>
      <xdr:blipFill>
        <a:blip xmlns:r="http://schemas.openxmlformats.org/officeDocument/2006/relationships" r:embed="rId20"/>
        <a:stretch>
          <a:fillRect/>
        </a:stretch>
      </xdr:blipFill>
      <xdr:spPr>
        <a:xfrm>
          <a:off x="5705475" y="97659825"/>
          <a:ext cx="7821116" cy="3477110"/>
        </a:xfrm>
        <a:prstGeom prst="rect">
          <a:avLst/>
        </a:prstGeom>
      </xdr:spPr>
    </xdr:pic>
    <xdr:clientData/>
  </xdr:twoCellAnchor>
  <xdr:twoCellAnchor editAs="oneCell">
    <xdr:from>
      <xdr:col>10</xdr:col>
      <xdr:colOff>323850</xdr:colOff>
      <xdr:row>516</xdr:row>
      <xdr:rowOff>114300</xdr:rowOff>
    </xdr:from>
    <xdr:to>
      <xdr:col>23</xdr:col>
      <xdr:colOff>29640</xdr:colOff>
      <xdr:row>540</xdr:row>
      <xdr:rowOff>67306</xdr:rowOff>
    </xdr:to>
    <xdr:pic>
      <xdr:nvPicPr>
        <xdr:cNvPr id="23" name="Picture 22">
          <a:extLst>
            <a:ext uri="{FF2B5EF4-FFF2-40B4-BE49-F238E27FC236}">
              <a16:creationId xmlns:a16="http://schemas.microsoft.com/office/drawing/2014/main" id="{00000000-0008-0000-0500-000017000000}"/>
            </a:ext>
          </a:extLst>
        </xdr:cNvPr>
        <xdr:cNvPicPr>
          <a:picLocks noChangeAspect="1"/>
        </xdr:cNvPicPr>
      </xdr:nvPicPr>
      <xdr:blipFill>
        <a:blip xmlns:r="http://schemas.openxmlformats.org/officeDocument/2006/relationships" r:embed="rId21"/>
        <a:stretch>
          <a:fillRect/>
        </a:stretch>
      </xdr:blipFill>
      <xdr:spPr>
        <a:xfrm>
          <a:off x="10791825" y="98231325"/>
          <a:ext cx="7630590" cy="4525006"/>
        </a:xfrm>
        <a:prstGeom prst="rect">
          <a:avLst/>
        </a:prstGeom>
      </xdr:spPr>
    </xdr:pic>
    <xdr:clientData/>
  </xdr:twoCellAnchor>
  <xdr:twoCellAnchor editAs="oneCell">
    <xdr:from>
      <xdr:col>4</xdr:col>
      <xdr:colOff>1352550</xdr:colOff>
      <xdr:row>535</xdr:row>
      <xdr:rowOff>104775</xdr:rowOff>
    </xdr:from>
    <xdr:to>
      <xdr:col>13</xdr:col>
      <xdr:colOff>105738</xdr:colOff>
      <xdr:row>582</xdr:row>
      <xdr:rowOff>163183</xdr:rowOff>
    </xdr:to>
    <xdr:pic>
      <xdr:nvPicPr>
        <xdr:cNvPr id="24" name="Picture 23">
          <a:extLst>
            <a:ext uri="{FF2B5EF4-FFF2-40B4-BE49-F238E27FC236}">
              <a16:creationId xmlns:a16="http://schemas.microsoft.com/office/drawing/2014/main" id="{00000000-0008-0000-0500-000018000000}"/>
            </a:ext>
          </a:extLst>
        </xdr:cNvPr>
        <xdr:cNvPicPr>
          <a:picLocks noChangeAspect="1"/>
        </xdr:cNvPicPr>
      </xdr:nvPicPr>
      <xdr:blipFill>
        <a:blip xmlns:r="http://schemas.openxmlformats.org/officeDocument/2006/relationships" r:embed="rId22"/>
        <a:stretch>
          <a:fillRect/>
        </a:stretch>
      </xdr:blipFill>
      <xdr:spPr>
        <a:xfrm>
          <a:off x="6943725" y="101841300"/>
          <a:ext cx="6897063" cy="9011908"/>
        </a:xfrm>
        <a:prstGeom prst="rect">
          <a:avLst/>
        </a:prstGeom>
      </xdr:spPr>
    </xdr:pic>
    <xdr:clientData/>
  </xdr:twoCellAnchor>
  <xdr:twoCellAnchor editAs="oneCell">
    <xdr:from>
      <xdr:col>4</xdr:col>
      <xdr:colOff>45427</xdr:colOff>
      <xdr:row>597</xdr:row>
      <xdr:rowOff>32971</xdr:rowOff>
    </xdr:from>
    <xdr:to>
      <xdr:col>8</xdr:col>
      <xdr:colOff>410338</xdr:colOff>
      <xdr:row>621</xdr:row>
      <xdr:rowOff>90767</xdr:rowOff>
    </xdr:to>
    <xdr:pic>
      <xdr:nvPicPr>
        <xdr:cNvPr id="25" name="Picture 24">
          <a:extLst>
            <a:ext uri="{FF2B5EF4-FFF2-40B4-BE49-F238E27FC236}">
              <a16:creationId xmlns:a16="http://schemas.microsoft.com/office/drawing/2014/main" id="{00000000-0008-0000-0500-000019000000}"/>
            </a:ext>
          </a:extLst>
        </xdr:cNvPr>
        <xdr:cNvPicPr>
          <a:picLocks noChangeAspect="1"/>
        </xdr:cNvPicPr>
      </xdr:nvPicPr>
      <xdr:blipFill>
        <a:blip xmlns:r="http://schemas.openxmlformats.org/officeDocument/2006/relationships" r:embed="rId23"/>
        <a:stretch>
          <a:fillRect/>
        </a:stretch>
      </xdr:blipFill>
      <xdr:spPr>
        <a:xfrm>
          <a:off x="5628542" y="113922663"/>
          <a:ext cx="5454925" cy="4629796"/>
        </a:xfrm>
        <a:prstGeom prst="rect">
          <a:avLst/>
        </a:prstGeom>
      </xdr:spPr>
    </xdr:pic>
    <xdr:clientData/>
  </xdr:twoCellAnchor>
  <xdr:twoCellAnchor editAs="oneCell">
    <xdr:from>
      <xdr:col>3</xdr:col>
      <xdr:colOff>400050</xdr:colOff>
      <xdr:row>628</xdr:row>
      <xdr:rowOff>161925</xdr:rowOff>
    </xdr:from>
    <xdr:to>
      <xdr:col>10</xdr:col>
      <xdr:colOff>48609</xdr:colOff>
      <xdr:row>634</xdr:row>
      <xdr:rowOff>137</xdr:rowOff>
    </xdr:to>
    <xdr:pic>
      <xdr:nvPicPr>
        <xdr:cNvPr id="26" name="Picture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24"/>
        <a:stretch>
          <a:fillRect/>
        </a:stretch>
      </xdr:blipFill>
      <xdr:spPr>
        <a:xfrm>
          <a:off x="4905375" y="119614950"/>
          <a:ext cx="7049484" cy="981212"/>
        </a:xfrm>
        <a:prstGeom prst="rect">
          <a:avLst/>
        </a:prstGeom>
      </xdr:spPr>
    </xdr:pic>
    <xdr:clientData/>
  </xdr:twoCellAnchor>
  <xdr:twoCellAnchor editAs="oneCell">
    <xdr:from>
      <xdr:col>9</xdr:col>
      <xdr:colOff>258640</xdr:colOff>
      <xdr:row>648</xdr:row>
      <xdr:rowOff>179510</xdr:rowOff>
    </xdr:from>
    <xdr:to>
      <xdr:col>18</xdr:col>
      <xdr:colOff>354669</xdr:colOff>
      <xdr:row>666</xdr:row>
      <xdr:rowOff>27567</xdr:rowOff>
    </xdr:to>
    <xdr:pic>
      <xdr:nvPicPr>
        <xdr:cNvPr id="27" name="Picture 26">
          <a:extLst>
            <a:ext uri="{FF2B5EF4-FFF2-40B4-BE49-F238E27FC236}">
              <a16:creationId xmlns:a16="http://schemas.microsoft.com/office/drawing/2014/main" id="{00000000-0008-0000-0500-00001B000000}"/>
            </a:ext>
          </a:extLst>
        </xdr:cNvPr>
        <xdr:cNvPicPr>
          <a:picLocks noChangeAspect="1"/>
        </xdr:cNvPicPr>
      </xdr:nvPicPr>
      <xdr:blipFill>
        <a:blip xmlns:r="http://schemas.openxmlformats.org/officeDocument/2006/relationships" r:embed="rId25"/>
        <a:stretch>
          <a:fillRect/>
        </a:stretch>
      </xdr:blipFill>
      <xdr:spPr>
        <a:xfrm>
          <a:off x="10106025" y="123784702"/>
          <a:ext cx="5569240" cy="3277057"/>
        </a:xfrm>
        <a:prstGeom prst="rect">
          <a:avLst/>
        </a:prstGeom>
      </xdr:spPr>
    </xdr:pic>
    <xdr:clientData/>
  </xdr:twoCellAnchor>
  <xdr:twoCellAnchor editAs="oneCell">
    <xdr:from>
      <xdr:col>4</xdr:col>
      <xdr:colOff>598395</xdr:colOff>
      <xdr:row>713</xdr:row>
      <xdr:rowOff>67794</xdr:rowOff>
    </xdr:from>
    <xdr:to>
      <xdr:col>22</xdr:col>
      <xdr:colOff>172171</xdr:colOff>
      <xdr:row>736</xdr:row>
      <xdr:rowOff>116037</xdr:rowOff>
    </xdr:to>
    <xdr:pic>
      <xdr:nvPicPr>
        <xdr:cNvPr id="28" name="Picture 27">
          <a:extLst>
            <a:ext uri="{FF2B5EF4-FFF2-40B4-BE49-F238E27FC236}">
              <a16:creationId xmlns:a16="http://schemas.microsoft.com/office/drawing/2014/main" id="{00000000-0008-0000-0500-00001C000000}"/>
            </a:ext>
          </a:extLst>
        </xdr:cNvPr>
        <xdr:cNvPicPr>
          <a:picLocks noChangeAspect="1"/>
        </xdr:cNvPicPr>
      </xdr:nvPicPr>
      <xdr:blipFill>
        <a:blip xmlns:r="http://schemas.openxmlformats.org/officeDocument/2006/relationships" r:embed="rId26"/>
        <a:stretch>
          <a:fillRect/>
        </a:stretch>
      </xdr:blipFill>
      <xdr:spPr>
        <a:xfrm>
          <a:off x="6178924" y="135748618"/>
          <a:ext cx="13116646" cy="44297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590550</xdr:colOff>
      <xdr:row>6</xdr:row>
      <xdr:rowOff>161925</xdr:rowOff>
    </xdr:from>
    <xdr:to>
      <xdr:col>12</xdr:col>
      <xdr:colOff>161925</xdr:colOff>
      <xdr:row>18</xdr:row>
      <xdr:rowOff>63588</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3638550" y="1304925"/>
          <a:ext cx="3838575" cy="2187663"/>
        </a:xfrm>
        <a:prstGeom prst="rect">
          <a:avLst/>
        </a:prstGeom>
      </xdr:spPr>
    </xdr:pic>
    <xdr:clientData/>
  </xdr:twoCellAnchor>
  <xdr:twoCellAnchor editAs="oneCell">
    <xdr:from>
      <xdr:col>0</xdr:col>
      <xdr:colOff>0</xdr:colOff>
      <xdr:row>27</xdr:row>
      <xdr:rowOff>19050</xdr:rowOff>
    </xdr:from>
    <xdr:to>
      <xdr:col>4</xdr:col>
      <xdr:colOff>772073</xdr:colOff>
      <xdr:row>29</xdr:row>
      <xdr:rowOff>57208</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0" y="5162550"/>
          <a:ext cx="3924848" cy="419158"/>
        </a:xfrm>
        <a:prstGeom prst="rect">
          <a:avLst/>
        </a:prstGeom>
      </xdr:spPr>
    </xdr:pic>
    <xdr:clientData/>
  </xdr:twoCellAnchor>
  <xdr:twoCellAnchor editAs="oneCell">
    <xdr:from>
      <xdr:col>3</xdr:col>
      <xdr:colOff>571500</xdr:colOff>
      <xdr:row>36</xdr:row>
      <xdr:rowOff>1</xdr:rowOff>
    </xdr:from>
    <xdr:to>
      <xdr:col>10</xdr:col>
      <xdr:colOff>504825</xdr:colOff>
      <xdr:row>45</xdr:row>
      <xdr:rowOff>26057</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2400300" y="6858001"/>
          <a:ext cx="4772025" cy="1740556"/>
        </a:xfrm>
        <a:prstGeom prst="rect">
          <a:avLst/>
        </a:prstGeom>
      </xdr:spPr>
    </xdr:pic>
    <xdr:clientData/>
  </xdr:twoCellAnchor>
  <xdr:twoCellAnchor editAs="oneCell">
    <xdr:from>
      <xdr:col>5</xdr:col>
      <xdr:colOff>409575</xdr:colOff>
      <xdr:row>51</xdr:row>
      <xdr:rowOff>152400</xdr:rowOff>
    </xdr:from>
    <xdr:to>
      <xdr:col>18</xdr:col>
      <xdr:colOff>286839</xdr:colOff>
      <xdr:row>61</xdr:row>
      <xdr:rowOff>152666</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3457575" y="9296400"/>
          <a:ext cx="7802064" cy="1905266"/>
        </a:xfrm>
        <a:prstGeom prst="rect">
          <a:avLst/>
        </a:prstGeom>
      </xdr:spPr>
    </xdr:pic>
    <xdr:clientData/>
  </xdr:twoCellAnchor>
  <xdr:twoCellAnchor editAs="oneCell">
    <xdr:from>
      <xdr:col>18</xdr:col>
      <xdr:colOff>476250</xdr:colOff>
      <xdr:row>51</xdr:row>
      <xdr:rowOff>57150</xdr:rowOff>
    </xdr:from>
    <xdr:to>
      <xdr:col>32</xdr:col>
      <xdr:colOff>48756</xdr:colOff>
      <xdr:row>60</xdr:row>
      <xdr:rowOff>66916</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stretch>
          <a:fillRect/>
        </a:stretch>
      </xdr:blipFill>
      <xdr:spPr>
        <a:xfrm>
          <a:off x="11449050" y="9201150"/>
          <a:ext cx="8106906" cy="1724266"/>
        </a:xfrm>
        <a:prstGeom prst="rect">
          <a:avLst/>
        </a:prstGeom>
      </xdr:spPr>
    </xdr:pic>
    <xdr:clientData/>
  </xdr:twoCellAnchor>
  <xdr:twoCellAnchor editAs="oneCell">
    <xdr:from>
      <xdr:col>4</xdr:col>
      <xdr:colOff>390526</xdr:colOff>
      <xdr:row>69</xdr:row>
      <xdr:rowOff>130546</xdr:rowOff>
    </xdr:from>
    <xdr:to>
      <xdr:col>6</xdr:col>
      <xdr:colOff>523876</xdr:colOff>
      <xdr:row>76</xdr:row>
      <xdr:rowOff>9525</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3543301" y="13275046"/>
          <a:ext cx="1924050" cy="1212479"/>
        </a:xfrm>
        <a:prstGeom prst="rect">
          <a:avLst/>
        </a:prstGeom>
      </xdr:spPr>
    </xdr:pic>
    <xdr:clientData/>
  </xdr:twoCellAnchor>
  <xdr:twoCellAnchor editAs="oneCell">
    <xdr:from>
      <xdr:col>5</xdr:col>
      <xdr:colOff>276225</xdr:colOff>
      <xdr:row>81</xdr:row>
      <xdr:rowOff>104776</xdr:rowOff>
    </xdr:from>
    <xdr:to>
      <xdr:col>11</xdr:col>
      <xdr:colOff>285750</xdr:colOff>
      <xdr:row>93</xdr:row>
      <xdr:rowOff>42325</xdr:rowOff>
    </xdr:to>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3324225" y="15535276"/>
          <a:ext cx="3667125" cy="2223549"/>
        </a:xfrm>
        <a:prstGeom prst="rect">
          <a:avLst/>
        </a:prstGeom>
      </xdr:spPr>
    </xdr:pic>
    <xdr:clientData/>
  </xdr:twoCellAnchor>
  <xdr:twoCellAnchor editAs="oneCell">
    <xdr:from>
      <xdr:col>7</xdr:col>
      <xdr:colOff>581025</xdr:colOff>
      <xdr:row>100</xdr:row>
      <xdr:rowOff>0</xdr:rowOff>
    </xdr:from>
    <xdr:to>
      <xdr:col>15</xdr:col>
      <xdr:colOff>162547</xdr:colOff>
      <xdr:row>118</xdr:row>
      <xdr:rowOff>124321</xdr:rowOff>
    </xdr:to>
    <xdr:pic>
      <xdr:nvPicPr>
        <xdr:cNvPr id="9" name="Picture 8">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8"/>
        <a:stretch>
          <a:fillRect/>
        </a:stretch>
      </xdr:blipFill>
      <xdr:spPr>
        <a:xfrm>
          <a:off x="4848225" y="18859500"/>
          <a:ext cx="4458322" cy="3553321"/>
        </a:xfrm>
        <a:prstGeom prst="rect">
          <a:avLst/>
        </a:prstGeom>
      </xdr:spPr>
    </xdr:pic>
    <xdr:clientData/>
  </xdr:twoCellAnchor>
  <xdr:twoCellAnchor editAs="oneCell">
    <xdr:from>
      <xdr:col>16</xdr:col>
      <xdr:colOff>409575</xdr:colOff>
      <xdr:row>99</xdr:row>
      <xdr:rowOff>95250</xdr:rowOff>
    </xdr:from>
    <xdr:to>
      <xdr:col>22</xdr:col>
      <xdr:colOff>29032</xdr:colOff>
      <xdr:row>122</xdr:row>
      <xdr:rowOff>598</xdr:rowOff>
    </xdr:to>
    <xdr:pic>
      <xdr:nvPicPr>
        <xdr:cNvPr id="10" name="Picture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9"/>
        <a:stretch>
          <a:fillRect/>
        </a:stretch>
      </xdr:blipFill>
      <xdr:spPr>
        <a:xfrm>
          <a:off x="10163175" y="18764250"/>
          <a:ext cx="3277057" cy="4286848"/>
        </a:xfrm>
        <a:prstGeom prst="rect">
          <a:avLst/>
        </a:prstGeom>
      </xdr:spPr>
    </xdr:pic>
    <xdr:clientData/>
  </xdr:twoCellAnchor>
  <xdr:twoCellAnchor editAs="oneCell">
    <xdr:from>
      <xdr:col>9</xdr:col>
      <xdr:colOff>438151</xdr:colOff>
      <xdr:row>125</xdr:row>
      <xdr:rowOff>104776</xdr:rowOff>
    </xdr:from>
    <xdr:to>
      <xdr:col>14</xdr:col>
      <xdr:colOff>395163</xdr:colOff>
      <xdr:row>138</xdr:row>
      <xdr:rowOff>28576</xdr:rowOff>
    </xdr:to>
    <xdr:pic>
      <xdr:nvPicPr>
        <xdr:cNvPr id="11" name="Picture 10">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10"/>
        <a:stretch>
          <a:fillRect/>
        </a:stretch>
      </xdr:blipFill>
      <xdr:spPr>
        <a:xfrm>
          <a:off x="7019926" y="23917276"/>
          <a:ext cx="3005012" cy="2400300"/>
        </a:xfrm>
        <a:prstGeom prst="rect">
          <a:avLst/>
        </a:prstGeom>
      </xdr:spPr>
    </xdr:pic>
    <xdr:clientData/>
  </xdr:twoCellAnchor>
  <xdr:twoCellAnchor editAs="oneCell">
    <xdr:from>
      <xdr:col>8</xdr:col>
      <xdr:colOff>104775</xdr:colOff>
      <xdr:row>143</xdr:row>
      <xdr:rowOff>19050</xdr:rowOff>
    </xdr:from>
    <xdr:to>
      <xdr:col>19</xdr:col>
      <xdr:colOff>210501</xdr:colOff>
      <xdr:row>151</xdr:row>
      <xdr:rowOff>152631</xdr:rowOff>
    </xdr:to>
    <xdr:pic>
      <xdr:nvPicPr>
        <xdr:cNvPr id="12" name="Picture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1"/>
        <a:stretch>
          <a:fillRect/>
        </a:stretch>
      </xdr:blipFill>
      <xdr:spPr>
        <a:xfrm>
          <a:off x="6076950" y="27260550"/>
          <a:ext cx="6811326" cy="1657581"/>
        </a:xfrm>
        <a:prstGeom prst="rect">
          <a:avLst/>
        </a:prstGeom>
      </xdr:spPr>
    </xdr:pic>
    <xdr:clientData/>
  </xdr:twoCellAnchor>
  <xdr:twoCellAnchor editAs="oneCell">
    <xdr:from>
      <xdr:col>7</xdr:col>
      <xdr:colOff>381000</xdr:colOff>
      <xdr:row>167</xdr:row>
      <xdr:rowOff>66675</xdr:rowOff>
    </xdr:from>
    <xdr:to>
      <xdr:col>15</xdr:col>
      <xdr:colOff>29206</xdr:colOff>
      <xdr:row>176</xdr:row>
      <xdr:rowOff>28809</xdr:rowOff>
    </xdr:to>
    <xdr:pic>
      <xdr:nvPicPr>
        <xdr:cNvPr id="13" name="Picture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2"/>
        <a:stretch>
          <a:fillRect/>
        </a:stretch>
      </xdr:blipFill>
      <xdr:spPr>
        <a:xfrm>
          <a:off x="5743575" y="31880175"/>
          <a:ext cx="4525006" cy="1676634"/>
        </a:xfrm>
        <a:prstGeom prst="rect">
          <a:avLst/>
        </a:prstGeom>
      </xdr:spPr>
    </xdr:pic>
    <xdr:clientData/>
  </xdr:twoCellAnchor>
  <xdr:twoCellAnchor editAs="oneCell">
    <xdr:from>
      <xdr:col>15</xdr:col>
      <xdr:colOff>180975</xdr:colOff>
      <xdr:row>166</xdr:row>
      <xdr:rowOff>142875</xdr:rowOff>
    </xdr:from>
    <xdr:to>
      <xdr:col>22</xdr:col>
      <xdr:colOff>467360</xdr:colOff>
      <xdr:row>170</xdr:row>
      <xdr:rowOff>47718</xdr:rowOff>
    </xdr:to>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3"/>
        <a:stretch>
          <a:fillRect/>
        </a:stretch>
      </xdr:blipFill>
      <xdr:spPr>
        <a:xfrm>
          <a:off x="10420350" y="31765875"/>
          <a:ext cx="4553585" cy="666843"/>
        </a:xfrm>
        <a:prstGeom prst="rect">
          <a:avLst/>
        </a:prstGeom>
      </xdr:spPr>
    </xdr:pic>
    <xdr:clientData/>
  </xdr:twoCellAnchor>
  <xdr:twoCellAnchor editAs="oneCell">
    <xdr:from>
      <xdr:col>5</xdr:col>
      <xdr:colOff>9525</xdr:colOff>
      <xdr:row>184</xdr:row>
      <xdr:rowOff>171450</xdr:rowOff>
    </xdr:from>
    <xdr:to>
      <xdr:col>11</xdr:col>
      <xdr:colOff>562563</xdr:colOff>
      <xdr:row>186</xdr:row>
      <xdr:rowOff>161977</xdr:rowOff>
    </xdr:to>
    <xdr:pic>
      <xdr:nvPicPr>
        <xdr:cNvPr id="15" name="Picture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4"/>
        <a:stretch>
          <a:fillRect/>
        </a:stretch>
      </xdr:blipFill>
      <xdr:spPr>
        <a:xfrm>
          <a:off x="4152900" y="35223450"/>
          <a:ext cx="4210638" cy="371527"/>
        </a:xfrm>
        <a:prstGeom prst="rect">
          <a:avLst/>
        </a:prstGeom>
      </xdr:spPr>
    </xdr:pic>
    <xdr:clientData/>
  </xdr:twoCellAnchor>
  <xdr:twoCellAnchor editAs="oneCell">
    <xdr:from>
      <xdr:col>4</xdr:col>
      <xdr:colOff>962025</xdr:colOff>
      <xdr:row>193</xdr:row>
      <xdr:rowOff>161925</xdr:rowOff>
    </xdr:from>
    <xdr:to>
      <xdr:col>12</xdr:col>
      <xdr:colOff>323850</xdr:colOff>
      <xdr:row>204</xdr:row>
      <xdr:rowOff>174526</xdr:rowOff>
    </xdr:to>
    <xdr:pic>
      <xdr:nvPicPr>
        <xdr:cNvPr id="16" name="Picture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15"/>
        <a:stretch>
          <a:fillRect/>
        </a:stretch>
      </xdr:blipFill>
      <xdr:spPr>
        <a:xfrm>
          <a:off x="3924300" y="36928425"/>
          <a:ext cx="4810125" cy="2108101"/>
        </a:xfrm>
        <a:prstGeom prst="rect">
          <a:avLst/>
        </a:prstGeom>
      </xdr:spPr>
    </xdr:pic>
    <xdr:clientData/>
  </xdr:twoCellAnchor>
  <xdr:twoCellAnchor editAs="oneCell">
    <xdr:from>
      <xdr:col>5</xdr:col>
      <xdr:colOff>209550</xdr:colOff>
      <xdr:row>213</xdr:row>
      <xdr:rowOff>38100</xdr:rowOff>
    </xdr:from>
    <xdr:to>
      <xdr:col>12</xdr:col>
      <xdr:colOff>362567</xdr:colOff>
      <xdr:row>215</xdr:row>
      <xdr:rowOff>85785</xdr:rowOff>
    </xdr:to>
    <xdr:pic>
      <xdr:nvPicPr>
        <xdr:cNvPr id="17" name="Picture 16">
          <a:extLst>
            <a:ext uri="{FF2B5EF4-FFF2-40B4-BE49-F238E27FC236}">
              <a16:creationId xmlns:a16="http://schemas.microsoft.com/office/drawing/2014/main" id="{00000000-0008-0000-0600-000011000000}"/>
            </a:ext>
          </a:extLst>
        </xdr:cNvPr>
        <xdr:cNvPicPr>
          <a:picLocks noChangeAspect="1"/>
        </xdr:cNvPicPr>
      </xdr:nvPicPr>
      <xdr:blipFill>
        <a:blip xmlns:r="http://schemas.openxmlformats.org/officeDocument/2006/relationships" r:embed="rId16"/>
        <a:stretch>
          <a:fillRect/>
        </a:stretch>
      </xdr:blipFill>
      <xdr:spPr>
        <a:xfrm>
          <a:off x="4352925" y="40614600"/>
          <a:ext cx="4420217" cy="428685"/>
        </a:xfrm>
        <a:prstGeom prst="rect">
          <a:avLst/>
        </a:prstGeom>
      </xdr:spPr>
    </xdr:pic>
    <xdr:clientData/>
  </xdr:twoCellAnchor>
  <xdr:twoCellAnchor editAs="oneCell">
    <xdr:from>
      <xdr:col>4</xdr:col>
      <xdr:colOff>523875</xdr:colOff>
      <xdr:row>221</xdr:row>
      <xdr:rowOff>95250</xdr:rowOff>
    </xdr:from>
    <xdr:to>
      <xdr:col>17</xdr:col>
      <xdr:colOff>201166</xdr:colOff>
      <xdr:row>229</xdr:row>
      <xdr:rowOff>19252</xdr:rowOff>
    </xdr:to>
    <xdr:pic>
      <xdr:nvPicPr>
        <xdr:cNvPr id="18" name="Picture 17">
          <a:extLst>
            <a:ext uri="{FF2B5EF4-FFF2-40B4-BE49-F238E27FC236}">
              <a16:creationId xmlns:a16="http://schemas.microsoft.com/office/drawing/2014/main" id="{00000000-0008-0000-0600-000012000000}"/>
            </a:ext>
          </a:extLst>
        </xdr:cNvPr>
        <xdr:cNvPicPr>
          <a:picLocks noChangeAspect="1"/>
        </xdr:cNvPicPr>
      </xdr:nvPicPr>
      <xdr:blipFill>
        <a:blip xmlns:r="http://schemas.openxmlformats.org/officeDocument/2006/relationships" r:embed="rId17"/>
        <a:stretch>
          <a:fillRect/>
        </a:stretch>
      </xdr:blipFill>
      <xdr:spPr>
        <a:xfrm>
          <a:off x="3486150" y="42195750"/>
          <a:ext cx="8173591" cy="1448002"/>
        </a:xfrm>
        <a:prstGeom prst="rect">
          <a:avLst/>
        </a:prstGeom>
      </xdr:spPr>
    </xdr:pic>
    <xdr:clientData/>
  </xdr:twoCellAnchor>
  <xdr:twoCellAnchor editAs="oneCell">
    <xdr:from>
      <xdr:col>6</xdr:col>
      <xdr:colOff>342901</xdr:colOff>
      <xdr:row>234</xdr:row>
      <xdr:rowOff>95250</xdr:rowOff>
    </xdr:from>
    <xdr:to>
      <xdr:col>10</xdr:col>
      <xdr:colOff>514351</xdr:colOff>
      <xdr:row>248</xdr:row>
      <xdr:rowOff>55010</xdr:rowOff>
    </xdr:to>
    <xdr:pic>
      <xdr:nvPicPr>
        <xdr:cNvPr id="21" name="Picture 20">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18"/>
        <a:stretch>
          <a:fillRect/>
        </a:stretch>
      </xdr:blipFill>
      <xdr:spPr>
        <a:xfrm>
          <a:off x="5095876" y="44672250"/>
          <a:ext cx="2609850" cy="2626760"/>
        </a:xfrm>
        <a:prstGeom prst="rect">
          <a:avLst/>
        </a:prstGeom>
      </xdr:spPr>
    </xdr:pic>
    <xdr:clientData/>
  </xdr:twoCellAnchor>
  <xdr:twoCellAnchor editAs="oneCell">
    <xdr:from>
      <xdr:col>11</xdr:col>
      <xdr:colOff>285751</xdr:colOff>
      <xdr:row>231</xdr:row>
      <xdr:rowOff>171450</xdr:rowOff>
    </xdr:from>
    <xdr:to>
      <xdr:col>16</xdr:col>
      <xdr:colOff>342901</xdr:colOff>
      <xdr:row>251</xdr:row>
      <xdr:rowOff>172016</xdr:rowOff>
    </xdr:to>
    <xdr:pic>
      <xdr:nvPicPr>
        <xdr:cNvPr id="22" name="Picture 21">
          <a:extLst>
            <a:ext uri="{FF2B5EF4-FFF2-40B4-BE49-F238E27FC236}">
              <a16:creationId xmlns:a16="http://schemas.microsoft.com/office/drawing/2014/main" id="{00000000-0008-0000-0600-000016000000}"/>
            </a:ext>
          </a:extLst>
        </xdr:cNvPr>
        <xdr:cNvPicPr>
          <a:picLocks noChangeAspect="1"/>
        </xdr:cNvPicPr>
      </xdr:nvPicPr>
      <xdr:blipFill>
        <a:blip xmlns:r="http://schemas.openxmlformats.org/officeDocument/2006/relationships" r:embed="rId19"/>
        <a:stretch>
          <a:fillRect/>
        </a:stretch>
      </xdr:blipFill>
      <xdr:spPr>
        <a:xfrm>
          <a:off x="8086726" y="44176950"/>
          <a:ext cx="3105150" cy="3810566"/>
        </a:xfrm>
        <a:prstGeom prst="rect">
          <a:avLst/>
        </a:prstGeom>
      </xdr:spPr>
    </xdr:pic>
    <xdr:clientData/>
  </xdr:twoCellAnchor>
  <xdr:twoCellAnchor editAs="oneCell">
    <xdr:from>
      <xdr:col>5</xdr:col>
      <xdr:colOff>466725</xdr:colOff>
      <xdr:row>260</xdr:row>
      <xdr:rowOff>57150</xdr:rowOff>
    </xdr:from>
    <xdr:to>
      <xdr:col>11</xdr:col>
      <xdr:colOff>305288</xdr:colOff>
      <xdr:row>269</xdr:row>
      <xdr:rowOff>28810</xdr:rowOff>
    </xdr:to>
    <xdr:pic>
      <xdr:nvPicPr>
        <xdr:cNvPr id="23" name="Picture 22">
          <a:extLst>
            <a:ext uri="{FF2B5EF4-FFF2-40B4-BE49-F238E27FC236}">
              <a16:creationId xmlns:a16="http://schemas.microsoft.com/office/drawing/2014/main" id="{00000000-0008-0000-0600-000017000000}"/>
            </a:ext>
          </a:extLst>
        </xdr:cNvPr>
        <xdr:cNvPicPr>
          <a:picLocks noChangeAspect="1"/>
        </xdr:cNvPicPr>
      </xdr:nvPicPr>
      <xdr:blipFill>
        <a:blip xmlns:r="http://schemas.openxmlformats.org/officeDocument/2006/relationships" r:embed="rId20"/>
        <a:stretch>
          <a:fillRect/>
        </a:stretch>
      </xdr:blipFill>
      <xdr:spPr>
        <a:xfrm>
          <a:off x="4610100" y="49587150"/>
          <a:ext cx="3496163" cy="1686160"/>
        </a:xfrm>
        <a:prstGeom prst="rect">
          <a:avLst/>
        </a:prstGeom>
      </xdr:spPr>
    </xdr:pic>
    <xdr:clientData/>
  </xdr:twoCellAnchor>
  <xdr:twoCellAnchor editAs="oneCell">
    <xdr:from>
      <xdr:col>12</xdr:col>
      <xdr:colOff>514350</xdr:colOff>
      <xdr:row>257</xdr:row>
      <xdr:rowOff>0</xdr:rowOff>
    </xdr:from>
    <xdr:to>
      <xdr:col>18</xdr:col>
      <xdr:colOff>362439</xdr:colOff>
      <xdr:row>271</xdr:row>
      <xdr:rowOff>143267</xdr:rowOff>
    </xdr:to>
    <xdr:pic>
      <xdr:nvPicPr>
        <xdr:cNvPr id="24" name="Picture 23">
          <a:extLst>
            <a:ext uri="{FF2B5EF4-FFF2-40B4-BE49-F238E27FC236}">
              <a16:creationId xmlns:a16="http://schemas.microsoft.com/office/drawing/2014/main" id="{00000000-0008-0000-0600-000018000000}"/>
            </a:ext>
          </a:extLst>
        </xdr:cNvPr>
        <xdr:cNvPicPr>
          <a:picLocks noChangeAspect="1"/>
        </xdr:cNvPicPr>
      </xdr:nvPicPr>
      <xdr:blipFill>
        <a:blip xmlns:r="http://schemas.openxmlformats.org/officeDocument/2006/relationships" r:embed="rId21"/>
        <a:stretch>
          <a:fillRect/>
        </a:stretch>
      </xdr:blipFill>
      <xdr:spPr>
        <a:xfrm>
          <a:off x="8924925" y="48958500"/>
          <a:ext cx="3505689" cy="2810267"/>
        </a:xfrm>
        <a:prstGeom prst="rect">
          <a:avLst/>
        </a:prstGeom>
      </xdr:spPr>
    </xdr:pic>
    <xdr:clientData/>
  </xdr:twoCellAnchor>
  <xdr:twoCellAnchor editAs="oneCell">
    <xdr:from>
      <xdr:col>6</xdr:col>
      <xdr:colOff>333375</xdr:colOff>
      <xdr:row>277</xdr:row>
      <xdr:rowOff>19050</xdr:rowOff>
    </xdr:from>
    <xdr:to>
      <xdr:col>18</xdr:col>
      <xdr:colOff>315343</xdr:colOff>
      <xdr:row>281</xdr:row>
      <xdr:rowOff>114420</xdr:rowOff>
    </xdr:to>
    <xdr:pic>
      <xdr:nvPicPr>
        <xdr:cNvPr id="25" name="Picture 24">
          <a:extLst>
            <a:ext uri="{FF2B5EF4-FFF2-40B4-BE49-F238E27FC236}">
              <a16:creationId xmlns:a16="http://schemas.microsoft.com/office/drawing/2014/main" id="{00000000-0008-0000-0600-000019000000}"/>
            </a:ext>
          </a:extLst>
        </xdr:cNvPr>
        <xdr:cNvPicPr>
          <a:picLocks noChangeAspect="1"/>
        </xdr:cNvPicPr>
      </xdr:nvPicPr>
      <xdr:blipFill>
        <a:blip xmlns:r="http://schemas.openxmlformats.org/officeDocument/2006/relationships" r:embed="rId22"/>
        <a:stretch>
          <a:fillRect/>
        </a:stretch>
      </xdr:blipFill>
      <xdr:spPr>
        <a:xfrm>
          <a:off x="5086350" y="52787550"/>
          <a:ext cx="7297168" cy="857370"/>
        </a:xfrm>
        <a:prstGeom prst="rect">
          <a:avLst/>
        </a:prstGeom>
      </xdr:spPr>
    </xdr:pic>
    <xdr:clientData/>
  </xdr:twoCellAnchor>
  <xdr:twoCellAnchor editAs="oneCell">
    <xdr:from>
      <xdr:col>6</xdr:col>
      <xdr:colOff>419100</xdr:colOff>
      <xdr:row>282</xdr:row>
      <xdr:rowOff>114300</xdr:rowOff>
    </xdr:from>
    <xdr:to>
      <xdr:col>18</xdr:col>
      <xdr:colOff>201015</xdr:colOff>
      <xdr:row>284</xdr:row>
      <xdr:rowOff>66722</xdr:rowOff>
    </xdr:to>
    <xdr:pic>
      <xdr:nvPicPr>
        <xdr:cNvPr id="26" name="Picture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23"/>
        <a:stretch>
          <a:fillRect/>
        </a:stretch>
      </xdr:blipFill>
      <xdr:spPr>
        <a:xfrm>
          <a:off x="5172075" y="53835300"/>
          <a:ext cx="7097115" cy="333422"/>
        </a:xfrm>
        <a:prstGeom prst="rect">
          <a:avLst/>
        </a:prstGeom>
      </xdr:spPr>
    </xdr:pic>
    <xdr:clientData/>
  </xdr:twoCellAnchor>
  <xdr:twoCellAnchor editAs="oneCell">
    <xdr:from>
      <xdr:col>18</xdr:col>
      <xdr:colOff>9525</xdr:colOff>
      <xdr:row>287</xdr:row>
      <xdr:rowOff>161925</xdr:rowOff>
    </xdr:from>
    <xdr:to>
      <xdr:col>27</xdr:col>
      <xdr:colOff>267502</xdr:colOff>
      <xdr:row>306</xdr:row>
      <xdr:rowOff>152904</xdr:rowOff>
    </xdr:to>
    <xdr:pic>
      <xdr:nvPicPr>
        <xdr:cNvPr id="27" name="Picture 26">
          <a:extLst>
            <a:ext uri="{FF2B5EF4-FFF2-40B4-BE49-F238E27FC236}">
              <a16:creationId xmlns:a16="http://schemas.microsoft.com/office/drawing/2014/main" id="{00000000-0008-0000-0600-00001B000000}"/>
            </a:ext>
          </a:extLst>
        </xdr:cNvPr>
        <xdr:cNvPicPr>
          <a:picLocks noChangeAspect="1"/>
        </xdr:cNvPicPr>
      </xdr:nvPicPr>
      <xdr:blipFill>
        <a:blip xmlns:r="http://schemas.openxmlformats.org/officeDocument/2006/relationships" r:embed="rId24"/>
        <a:stretch>
          <a:fillRect/>
        </a:stretch>
      </xdr:blipFill>
      <xdr:spPr>
        <a:xfrm>
          <a:off x="12077700" y="54835425"/>
          <a:ext cx="5744377" cy="3610479"/>
        </a:xfrm>
        <a:prstGeom prst="rect">
          <a:avLst/>
        </a:prstGeom>
      </xdr:spPr>
    </xdr:pic>
    <xdr:clientData/>
  </xdr:twoCellAnchor>
  <xdr:twoCellAnchor editAs="oneCell">
    <xdr:from>
      <xdr:col>5</xdr:col>
      <xdr:colOff>171450</xdr:colOff>
      <xdr:row>292</xdr:row>
      <xdr:rowOff>66675</xdr:rowOff>
    </xdr:from>
    <xdr:to>
      <xdr:col>12</xdr:col>
      <xdr:colOff>54167</xdr:colOff>
      <xdr:row>314</xdr:row>
      <xdr:rowOff>57150</xdr:rowOff>
    </xdr:to>
    <xdr:pic>
      <xdr:nvPicPr>
        <xdr:cNvPr id="28" name="Picture 27">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25"/>
        <a:stretch>
          <a:fillRect/>
        </a:stretch>
      </xdr:blipFill>
      <xdr:spPr>
        <a:xfrm>
          <a:off x="4505325" y="55692675"/>
          <a:ext cx="4149917" cy="4181475"/>
        </a:xfrm>
        <a:prstGeom prst="rect">
          <a:avLst/>
        </a:prstGeom>
      </xdr:spPr>
    </xdr:pic>
    <xdr:clientData/>
  </xdr:twoCellAnchor>
  <xdr:twoCellAnchor editAs="oneCell">
    <xdr:from>
      <xdr:col>12</xdr:col>
      <xdr:colOff>123825</xdr:colOff>
      <xdr:row>297</xdr:row>
      <xdr:rowOff>161926</xdr:rowOff>
    </xdr:from>
    <xdr:to>
      <xdr:col>17</xdr:col>
      <xdr:colOff>148582</xdr:colOff>
      <xdr:row>305</xdr:row>
      <xdr:rowOff>47626</xdr:rowOff>
    </xdr:to>
    <xdr:pic>
      <xdr:nvPicPr>
        <xdr:cNvPr id="29" name="Picture 28">
          <a:extLst>
            <a:ext uri="{FF2B5EF4-FFF2-40B4-BE49-F238E27FC236}">
              <a16:creationId xmlns:a16="http://schemas.microsoft.com/office/drawing/2014/main" id="{00000000-0008-0000-0600-00001D000000}"/>
            </a:ext>
          </a:extLst>
        </xdr:cNvPr>
        <xdr:cNvPicPr>
          <a:picLocks noChangeAspect="1"/>
        </xdr:cNvPicPr>
      </xdr:nvPicPr>
      <xdr:blipFill>
        <a:blip xmlns:r="http://schemas.openxmlformats.org/officeDocument/2006/relationships" r:embed="rId26"/>
        <a:stretch>
          <a:fillRect/>
        </a:stretch>
      </xdr:blipFill>
      <xdr:spPr>
        <a:xfrm>
          <a:off x="8534400" y="56549926"/>
          <a:ext cx="3072757" cy="1409700"/>
        </a:xfrm>
        <a:prstGeom prst="rect">
          <a:avLst/>
        </a:prstGeom>
      </xdr:spPr>
    </xdr:pic>
    <xdr:clientData/>
  </xdr:twoCellAnchor>
  <xdr:twoCellAnchor editAs="oneCell">
    <xdr:from>
      <xdr:col>12</xdr:col>
      <xdr:colOff>19051</xdr:colOff>
      <xdr:row>307</xdr:row>
      <xdr:rowOff>66675</xdr:rowOff>
    </xdr:from>
    <xdr:to>
      <xdr:col>17</xdr:col>
      <xdr:colOff>361951</xdr:colOff>
      <xdr:row>311</xdr:row>
      <xdr:rowOff>69098</xdr:rowOff>
    </xdr:to>
    <xdr:pic>
      <xdr:nvPicPr>
        <xdr:cNvPr id="30" name="Picture 29">
          <a:extLst>
            <a:ext uri="{FF2B5EF4-FFF2-40B4-BE49-F238E27FC236}">
              <a16:creationId xmlns:a16="http://schemas.microsoft.com/office/drawing/2014/main" id="{00000000-0008-0000-0600-00001E000000}"/>
            </a:ext>
          </a:extLst>
        </xdr:cNvPr>
        <xdr:cNvPicPr>
          <a:picLocks noChangeAspect="1"/>
        </xdr:cNvPicPr>
      </xdr:nvPicPr>
      <xdr:blipFill>
        <a:blip xmlns:r="http://schemas.openxmlformats.org/officeDocument/2006/relationships" r:embed="rId27"/>
        <a:stretch>
          <a:fillRect/>
        </a:stretch>
      </xdr:blipFill>
      <xdr:spPr>
        <a:xfrm>
          <a:off x="8429626" y="58359675"/>
          <a:ext cx="3390900" cy="764423"/>
        </a:xfrm>
        <a:prstGeom prst="rect">
          <a:avLst/>
        </a:prstGeom>
      </xdr:spPr>
    </xdr:pic>
    <xdr:clientData/>
  </xdr:twoCellAnchor>
  <xdr:twoCellAnchor editAs="oneCell">
    <xdr:from>
      <xdr:col>12</xdr:col>
      <xdr:colOff>85725</xdr:colOff>
      <xdr:row>290</xdr:row>
      <xdr:rowOff>114300</xdr:rowOff>
    </xdr:from>
    <xdr:to>
      <xdr:col>17</xdr:col>
      <xdr:colOff>400050</xdr:colOff>
      <xdr:row>296</xdr:row>
      <xdr:rowOff>118531</xdr:rowOff>
    </xdr:to>
    <xdr:pic>
      <xdr:nvPicPr>
        <xdr:cNvPr id="31" name="Picture 30">
          <a:extLst>
            <a:ext uri="{FF2B5EF4-FFF2-40B4-BE49-F238E27FC236}">
              <a16:creationId xmlns:a16="http://schemas.microsoft.com/office/drawing/2014/main" id="{00000000-0008-0000-0600-00001F000000}"/>
            </a:ext>
          </a:extLst>
        </xdr:cNvPr>
        <xdr:cNvPicPr>
          <a:picLocks noChangeAspect="1"/>
        </xdr:cNvPicPr>
      </xdr:nvPicPr>
      <xdr:blipFill>
        <a:blip xmlns:r="http://schemas.openxmlformats.org/officeDocument/2006/relationships" r:embed="rId28"/>
        <a:stretch>
          <a:fillRect/>
        </a:stretch>
      </xdr:blipFill>
      <xdr:spPr>
        <a:xfrm>
          <a:off x="8496300" y="55359300"/>
          <a:ext cx="3362325" cy="1147231"/>
        </a:xfrm>
        <a:prstGeom prst="rect">
          <a:avLst/>
        </a:prstGeom>
      </xdr:spPr>
    </xdr:pic>
    <xdr:clientData/>
  </xdr:twoCellAnchor>
  <xdr:twoCellAnchor editAs="oneCell">
    <xdr:from>
      <xdr:col>7</xdr:col>
      <xdr:colOff>238124</xdr:colOff>
      <xdr:row>323</xdr:row>
      <xdr:rowOff>180974</xdr:rowOff>
    </xdr:from>
    <xdr:to>
      <xdr:col>10</xdr:col>
      <xdr:colOff>514277</xdr:colOff>
      <xdr:row>337</xdr:row>
      <xdr:rowOff>28575</xdr:rowOff>
    </xdr:to>
    <xdr:pic>
      <xdr:nvPicPr>
        <xdr:cNvPr id="32" name="Picture 31">
          <a:extLst>
            <a:ext uri="{FF2B5EF4-FFF2-40B4-BE49-F238E27FC236}">
              <a16:creationId xmlns:a16="http://schemas.microsoft.com/office/drawing/2014/main" id="{00000000-0008-0000-0600-000020000000}"/>
            </a:ext>
          </a:extLst>
        </xdr:cNvPr>
        <xdr:cNvPicPr>
          <a:picLocks noChangeAspect="1"/>
        </xdr:cNvPicPr>
      </xdr:nvPicPr>
      <xdr:blipFill>
        <a:blip xmlns:r="http://schemas.openxmlformats.org/officeDocument/2006/relationships" r:embed="rId29"/>
        <a:stretch>
          <a:fillRect/>
        </a:stretch>
      </xdr:blipFill>
      <xdr:spPr>
        <a:xfrm>
          <a:off x="5791199" y="61712474"/>
          <a:ext cx="2104953" cy="2514601"/>
        </a:xfrm>
        <a:prstGeom prst="rect">
          <a:avLst/>
        </a:prstGeom>
      </xdr:spPr>
    </xdr:pic>
    <xdr:clientData/>
  </xdr:twoCellAnchor>
  <xdr:twoCellAnchor editAs="oneCell">
    <xdr:from>
      <xdr:col>6</xdr:col>
      <xdr:colOff>295275</xdr:colOff>
      <xdr:row>344</xdr:row>
      <xdr:rowOff>123825</xdr:rowOff>
    </xdr:from>
    <xdr:to>
      <xdr:col>21</xdr:col>
      <xdr:colOff>277499</xdr:colOff>
      <xdr:row>356</xdr:row>
      <xdr:rowOff>133670</xdr:rowOff>
    </xdr:to>
    <xdr:pic>
      <xdr:nvPicPr>
        <xdr:cNvPr id="33" name="Picture 32">
          <a:extLst>
            <a:ext uri="{FF2B5EF4-FFF2-40B4-BE49-F238E27FC236}">
              <a16:creationId xmlns:a16="http://schemas.microsoft.com/office/drawing/2014/main" id="{00000000-0008-0000-0600-000021000000}"/>
            </a:ext>
          </a:extLst>
        </xdr:cNvPr>
        <xdr:cNvPicPr>
          <a:picLocks noChangeAspect="1"/>
        </xdr:cNvPicPr>
      </xdr:nvPicPr>
      <xdr:blipFill>
        <a:blip xmlns:r="http://schemas.openxmlformats.org/officeDocument/2006/relationships" r:embed="rId30"/>
        <a:stretch>
          <a:fillRect/>
        </a:stretch>
      </xdr:blipFill>
      <xdr:spPr>
        <a:xfrm>
          <a:off x="5048250" y="65465325"/>
          <a:ext cx="9126224" cy="2295845"/>
        </a:xfrm>
        <a:prstGeom prst="rect">
          <a:avLst/>
        </a:prstGeom>
      </xdr:spPr>
    </xdr:pic>
    <xdr:clientData/>
  </xdr:twoCellAnchor>
  <xdr:twoCellAnchor editAs="oneCell">
    <xdr:from>
      <xdr:col>5</xdr:col>
      <xdr:colOff>523875</xdr:colOff>
      <xdr:row>375</xdr:row>
      <xdr:rowOff>66675</xdr:rowOff>
    </xdr:from>
    <xdr:to>
      <xdr:col>11</xdr:col>
      <xdr:colOff>461126</xdr:colOff>
      <xdr:row>383</xdr:row>
      <xdr:rowOff>133350</xdr:rowOff>
    </xdr:to>
    <xdr:pic>
      <xdr:nvPicPr>
        <xdr:cNvPr id="34" name="Picture 33">
          <a:extLst>
            <a:ext uri="{FF2B5EF4-FFF2-40B4-BE49-F238E27FC236}">
              <a16:creationId xmlns:a16="http://schemas.microsoft.com/office/drawing/2014/main" id="{00000000-0008-0000-0600-000022000000}"/>
            </a:ext>
          </a:extLst>
        </xdr:cNvPr>
        <xdr:cNvPicPr>
          <a:picLocks noChangeAspect="1"/>
        </xdr:cNvPicPr>
      </xdr:nvPicPr>
      <xdr:blipFill>
        <a:blip xmlns:r="http://schemas.openxmlformats.org/officeDocument/2006/relationships" r:embed="rId31"/>
        <a:stretch>
          <a:fillRect/>
        </a:stretch>
      </xdr:blipFill>
      <xdr:spPr>
        <a:xfrm>
          <a:off x="4857750" y="71313675"/>
          <a:ext cx="3594851" cy="1590675"/>
        </a:xfrm>
        <a:prstGeom prst="rect">
          <a:avLst/>
        </a:prstGeom>
      </xdr:spPr>
    </xdr:pic>
    <xdr:clientData/>
  </xdr:twoCellAnchor>
  <xdr:twoCellAnchor editAs="oneCell">
    <xdr:from>
      <xdr:col>7</xdr:col>
      <xdr:colOff>285750</xdr:colOff>
      <xdr:row>389</xdr:row>
      <xdr:rowOff>142875</xdr:rowOff>
    </xdr:from>
    <xdr:to>
      <xdr:col>15</xdr:col>
      <xdr:colOff>101094</xdr:colOff>
      <xdr:row>413</xdr:row>
      <xdr:rowOff>19050</xdr:rowOff>
    </xdr:to>
    <xdr:pic>
      <xdr:nvPicPr>
        <xdr:cNvPr id="35" name="Picture 34">
          <a:extLst>
            <a:ext uri="{FF2B5EF4-FFF2-40B4-BE49-F238E27FC236}">
              <a16:creationId xmlns:a16="http://schemas.microsoft.com/office/drawing/2014/main" id="{00000000-0008-0000-0600-000023000000}"/>
            </a:ext>
          </a:extLst>
        </xdr:cNvPr>
        <xdr:cNvPicPr>
          <a:picLocks noChangeAspect="1"/>
        </xdr:cNvPicPr>
      </xdr:nvPicPr>
      <xdr:blipFill>
        <a:blip xmlns:r="http://schemas.openxmlformats.org/officeDocument/2006/relationships" r:embed="rId32"/>
        <a:stretch>
          <a:fillRect/>
        </a:stretch>
      </xdr:blipFill>
      <xdr:spPr>
        <a:xfrm>
          <a:off x="5838825" y="74056875"/>
          <a:ext cx="4692144" cy="4448175"/>
        </a:xfrm>
        <a:prstGeom prst="rect">
          <a:avLst/>
        </a:prstGeom>
      </xdr:spPr>
    </xdr:pic>
    <xdr:clientData/>
  </xdr:twoCellAnchor>
  <xdr:twoCellAnchor editAs="oneCell">
    <xdr:from>
      <xdr:col>6</xdr:col>
      <xdr:colOff>228600</xdr:colOff>
      <xdr:row>418</xdr:row>
      <xdr:rowOff>161925</xdr:rowOff>
    </xdr:from>
    <xdr:to>
      <xdr:col>16</xdr:col>
      <xdr:colOff>196222</xdr:colOff>
      <xdr:row>439</xdr:row>
      <xdr:rowOff>142875</xdr:rowOff>
    </xdr:to>
    <xdr:pic>
      <xdr:nvPicPr>
        <xdr:cNvPr id="36" name="Picture 35">
          <a:extLst>
            <a:ext uri="{FF2B5EF4-FFF2-40B4-BE49-F238E27FC236}">
              <a16:creationId xmlns:a16="http://schemas.microsoft.com/office/drawing/2014/main" id="{00000000-0008-0000-0600-000024000000}"/>
            </a:ext>
          </a:extLst>
        </xdr:cNvPr>
        <xdr:cNvPicPr>
          <a:picLocks noChangeAspect="1"/>
        </xdr:cNvPicPr>
      </xdr:nvPicPr>
      <xdr:blipFill>
        <a:blip xmlns:r="http://schemas.openxmlformats.org/officeDocument/2006/relationships" r:embed="rId33"/>
        <a:stretch>
          <a:fillRect/>
        </a:stretch>
      </xdr:blipFill>
      <xdr:spPr>
        <a:xfrm>
          <a:off x="5172075" y="79600425"/>
          <a:ext cx="6063622" cy="3981450"/>
        </a:xfrm>
        <a:prstGeom prst="rect">
          <a:avLst/>
        </a:prstGeom>
      </xdr:spPr>
    </xdr:pic>
    <xdr:clientData/>
  </xdr:twoCellAnchor>
  <xdr:twoCellAnchor editAs="oneCell">
    <xdr:from>
      <xdr:col>4</xdr:col>
      <xdr:colOff>552450</xdr:colOff>
      <xdr:row>480</xdr:row>
      <xdr:rowOff>95250</xdr:rowOff>
    </xdr:from>
    <xdr:to>
      <xdr:col>14</xdr:col>
      <xdr:colOff>400959</xdr:colOff>
      <xdr:row>485</xdr:row>
      <xdr:rowOff>57278</xdr:rowOff>
    </xdr:to>
    <xdr:pic>
      <xdr:nvPicPr>
        <xdr:cNvPr id="38" name="Picture 37">
          <a:extLst>
            <a:ext uri="{FF2B5EF4-FFF2-40B4-BE49-F238E27FC236}">
              <a16:creationId xmlns:a16="http://schemas.microsoft.com/office/drawing/2014/main" id="{00000000-0008-0000-0600-000026000000}"/>
            </a:ext>
          </a:extLst>
        </xdr:cNvPr>
        <xdr:cNvPicPr>
          <a:picLocks noChangeAspect="1"/>
        </xdr:cNvPicPr>
      </xdr:nvPicPr>
      <xdr:blipFill>
        <a:blip xmlns:r="http://schemas.openxmlformats.org/officeDocument/2006/relationships" r:embed="rId34"/>
        <a:stretch>
          <a:fillRect/>
        </a:stretch>
      </xdr:blipFill>
      <xdr:spPr>
        <a:xfrm>
          <a:off x="3705225" y="91344750"/>
          <a:ext cx="6516009" cy="91452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8</xdr:col>
      <xdr:colOff>85725</xdr:colOff>
      <xdr:row>8</xdr:row>
      <xdr:rowOff>28575</xdr:rowOff>
    </xdr:from>
    <xdr:to>
      <xdr:col>15</xdr:col>
      <xdr:colOff>381637</xdr:colOff>
      <xdr:row>22</xdr:row>
      <xdr:rowOff>162316</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4962525" y="1552575"/>
          <a:ext cx="4563112" cy="2800741"/>
        </a:xfrm>
        <a:prstGeom prst="rect">
          <a:avLst/>
        </a:prstGeom>
      </xdr:spPr>
    </xdr:pic>
    <xdr:clientData/>
  </xdr:twoCellAnchor>
  <xdr:twoCellAnchor editAs="oneCell">
    <xdr:from>
      <xdr:col>15</xdr:col>
      <xdr:colOff>542925</xdr:colOff>
      <xdr:row>8</xdr:row>
      <xdr:rowOff>28575</xdr:rowOff>
    </xdr:from>
    <xdr:to>
      <xdr:col>30</xdr:col>
      <xdr:colOff>506096</xdr:colOff>
      <xdr:row>19</xdr:row>
      <xdr:rowOff>105078</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9686925" y="1552575"/>
          <a:ext cx="9107171" cy="2172003"/>
        </a:xfrm>
        <a:prstGeom prst="rect">
          <a:avLst/>
        </a:prstGeom>
      </xdr:spPr>
    </xdr:pic>
    <xdr:clientData/>
  </xdr:twoCellAnchor>
  <xdr:twoCellAnchor editAs="oneCell">
    <xdr:from>
      <xdr:col>10</xdr:col>
      <xdr:colOff>9525</xdr:colOff>
      <xdr:row>27</xdr:row>
      <xdr:rowOff>161925</xdr:rowOff>
    </xdr:from>
    <xdr:to>
      <xdr:col>19</xdr:col>
      <xdr:colOff>552450</xdr:colOff>
      <xdr:row>42</xdr:row>
      <xdr:rowOff>111049</xdr:rowOff>
    </xdr:to>
    <xdr:pic>
      <xdr:nvPicPr>
        <xdr:cNvPr id="4" name="Picture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6105525" y="5305425"/>
          <a:ext cx="6029325" cy="2806624"/>
        </a:xfrm>
        <a:prstGeom prst="rect">
          <a:avLst/>
        </a:prstGeom>
      </xdr:spPr>
    </xdr:pic>
    <xdr:clientData/>
  </xdr:twoCellAnchor>
  <xdr:twoCellAnchor editAs="oneCell">
    <xdr:from>
      <xdr:col>10</xdr:col>
      <xdr:colOff>0</xdr:colOff>
      <xdr:row>43</xdr:row>
      <xdr:rowOff>66675</xdr:rowOff>
    </xdr:from>
    <xdr:to>
      <xdr:col>20</xdr:col>
      <xdr:colOff>43857</xdr:colOff>
      <xdr:row>54</xdr:row>
      <xdr:rowOff>104775</xdr:rowOff>
    </xdr:to>
    <xdr:pic>
      <xdr:nvPicPr>
        <xdr:cNvPr id="5" name="Picture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4"/>
        <a:stretch>
          <a:fillRect/>
        </a:stretch>
      </xdr:blipFill>
      <xdr:spPr>
        <a:xfrm>
          <a:off x="6096000" y="8067675"/>
          <a:ext cx="6139856" cy="2133600"/>
        </a:xfrm>
        <a:prstGeom prst="rect">
          <a:avLst/>
        </a:prstGeom>
      </xdr:spPr>
    </xdr:pic>
    <xdr:clientData/>
  </xdr:twoCellAnchor>
  <xdr:twoCellAnchor editAs="oneCell">
    <xdr:from>
      <xdr:col>20</xdr:col>
      <xdr:colOff>0</xdr:colOff>
      <xdr:row>26</xdr:row>
      <xdr:rowOff>28575</xdr:rowOff>
    </xdr:from>
    <xdr:to>
      <xdr:col>29</xdr:col>
      <xdr:colOff>495300</xdr:colOff>
      <xdr:row>40</xdr:row>
      <xdr:rowOff>31711</xdr:rowOff>
    </xdr:to>
    <xdr:pic>
      <xdr:nvPicPr>
        <xdr:cNvPr id="6" name="Picture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12192000" y="4981575"/>
          <a:ext cx="5981700" cy="2670136"/>
        </a:xfrm>
        <a:prstGeom prst="rect">
          <a:avLst/>
        </a:prstGeom>
      </xdr:spPr>
    </xdr:pic>
    <xdr:clientData/>
  </xdr:twoCellAnchor>
  <xdr:twoCellAnchor editAs="oneCell">
    <xdr:from>
      <xdr:col>9</xdr:col>
      <xdr:colOff>314325</xdr:colOff>
      <xdr:row>72</xdr:row>
      <xdr:rowOff>85726</xdr:rowOff>
    </xdr:from>
    <xdr:to>
      <xdr:col>14</xdr:col>
      <xdr:colOff>600075</xdr:colOff>
      <xdr:row>83</xdr:row>
      <xdr:rowOff>93582</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6"/>
        <a:stretch>
          <a:fillRect/>
        </a:stretch>
      </xdr:blipFill>
      <xdr:spPr>
        <a:xfrm>
          <a:off x="5800725" y="13801726"/>
          <a:ext cx="3333750" cy="2103356"/>
        </a:xfrm>
        <a:prstGeom prst="rect">
          <a:avLst/>
        </a:prstGeom>
      </xdr:spPr>
    </xdr:pic>
    <xdr:clientData/>
  </xdr:twoCellAnchor>
  <xdr:twoCellAnchor editAs="oneCell">
    <xdr:from>
      <xdr:col>9</xdr:col>
      <xdr:colOff>219075</xdr:colOff>
      <xdr:row>67</xdr:row>
      <xdr:rowOff>0</xdr:rowOff>
    </xdr:from>
    <xdr:to>
      <xdr:col>14</xdr:col>
      <xdr:colOff>323850</xdr:colOff>
      <xdr:row>72</xdr:row>
      <xdr:rowOff>30269</xdr:rowOff>
    </xdr:to>
    <xdr:pic>
      <xdr:nvPicPr>
        <xdr:cNvPr id="8" name="Picture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7"/>
        <a:stretch>
          <a:fillRect/>
        </a:stretch>
      </xdr:blipFill>
      <xdr:spPr>
        <a:xfrm>
          <a:off x="5705475" y="12763500"/>
          <a:ext cx="3152775" cy="982769"/>
        </a:xfrm>
        <a:prstGeom prst="rect">
          <a:avLst/>
        </a:prstGeom>
      </xdr:spPr>
    </xdr:pic>
    <xdr:clientData/>
  </xdr:twoCellAnchor>
  <xdr:twoCellAnchor editAs="oneCell">
    <xdr:from>
      <xdr:col>7</xdr:col>
      <xdr:colOff>76200</xdr:colOff>
      <xdr:row>87</xdr:row>
      <xdr:rowOff>104775</xdr:rowOff>
    </xdr:from>
    <xdr:to>
      <xdr:col>14</xdr:col>
      <xdr:colOff>295901</xdr:colOff>
      <xdr:row>99</xdr:row>
      <xdr:rowOff>57462</xdr:rowOff>
    </xdr:to>
    <xdr:pic>
      <xdr:nvPicPr>
        <xdr:cNvPr id="9" name="Picture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8"/>
        <a:stretch>
          <a:fillRect/>
        </a:stretch>
      </xdr:blipFill>
      <xdr:spPr>
        <a:xfrm>
          <a:off x="4343400" y="16678275"/>
          <a:ext cx="4486901" cy="2238687"/>
        </a:xfrm>
        <a:prstGeom prst="rect">
          <a:avLst/>
        </a:prstGeom>
      </xdr:spPr>
    </xdr:pic>
    <xdr:clientData/>
  </xdr:twoCellAnchor>
  <xdr:twoCellAnchor editAs="oneCell">
    <xdr:from>
      <xdr:col>14</xdr:col>
      <xdr:colOff>390525</xdr:colOff>
      <xdr:row>88</xdr:row>
      <xdr:rowOff>133350</xdr:rowOff>
    </xdr:from>
    <xdr:to>
      <xdr:col>21</xdr:col>
      <xdr:colOff>448279</xdr:colOff>
      <xdr:row>93</xdr:row>
      <xdr:rowOff>114</xdr:rowOff>
    </xdr:to>
    <xdr:pic>
      <xdr:nvPicPr>
        <xdr:cNvPr id="10" name="Picture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a:off x="8924925" y="16897350"/>
          <a:ext cx="4324954" cy="819264"/>
        </a:xfrm>
        <a:prstGeom prst="rect">
          <a:avLst/>
        </a:prstGeom>
      </xdr:spPr>
    </xdr:pic>
    <xdr:clientData/>
  </xdr:twoCellAnchor>
  <xdr:twoCellAnchor editAs="oneCell">
    <xdr:from>
      <xdr:col>8</xdr:col>
      <xdr:colOff>381001</xdr:colOff>
      <xdr:row>97</xdr:row>
      <xdr:rowOff>19050</xdr:rowOff>
    </xdr:from>
    <xdr:to>
      <xdr:col>14</xdr:col>
      <xdr:colOff>243973</xdr:colOff>
      <xdr:row>115</xdr:row>
      <xdr:rowOff>28575</xdr:rowOff>
    </xdr:to>
    <xdr:pic>
      <xdr:nvPicPr>
        <xdr:cNvPr id="11" name="Picture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10"/>
        <a:stretch>
          <a:fillRect/>
        </a:stretch>
      </xdr:blipFill>
      <xdr:spPr>
        <a:xfrm>
          <a:off x="6219826" y="18497550"/>
          <a:ext cx="3520572" cy="3438525"/>
        </a:xfrm>
        <a:prstGeom prst="rect">
          <a:avLst/>
        </a:prstGeom>
      </xdr:spPr>
    </xdr:pic>
    <xdr:clientData/>
  </xdr:twoCellAnchor>
  <xdr:twoCellAnchor editAs="oneCell">
    <xdr:from>
      <xdr:col>15</xdr:col>
      <xdr:colOff>180975</xdr:colOff>
      <xdr:row>115</xdr:row>
      <xdr:rowOff>180975</xdr:rowOff>
    </xdr:from>
    <xdr:to>
      <xdr:col>22</xdr:col>
      <xdr:colOff>295887</xdr:colOff>
      <xdr:row>134</xdr:row>
      <xdr:rowOff>57638</xdr:rowOff>
    </xdr:to>
    <xdr:pic>
      <xdr:nvPicPr>
        <xdr:cNvPr id="12" name="Picture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11"/>
        <a:stretch>
          <a:fillRect/>
        </a:stretch>
      </xdr:blipFill>
      <xdr:spPr>
        <a:xfrm>
          <a:off x="10287000" y="22088475"/>
          <a:ext cx="4382112" cy="3496163"/>
        </a:xfrm>
        <a:prstGeom prst="rect">
          <a:avLst/>
        </a:prstGeom>
      </xdr:spPr>
    </xdr:pic>
    <xdr:clientData/>
  </xdr:twoCellAnchor>
  <xdr:twoCellAnchor editAs="oneCell">
    <xdr:from>
      <xdr:col>15</xdr:col>
      <xdr:colOff>238125</xdr:colOff>
      <xdr:row>110</xdr:row>
      <xdr:rowOff>19050</xdr:rowOff>
    </xdr:from>
    <xdr:to>
      <xdr:col>23</xdr:col>
      <xdr:colOff>543648</xdr:colOff>
      <xdr:row>114</xdr:row>
      <xdr:rowOff>66788</xdr:rowOff>
    </xdr:to>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2"/>
        <a:stretch>
          <a:fillRect/>
        </a:stretch>
      </xdr:blipFill>
      <xdr:spPr>
        <a:xfrm>
          <a:off x="10344150" y="20974050"/>
          <a:ext cx="5182323" cy="809738"/>
        </a:xfrm>
        <a:prstGeom prst="rect">
          <a:avLst/>
        </a:prstGeom>
      </xdr:spPr>
    </xdr:pic>
    <xdr:clientData/>
  </xdr:twoCellAnchor>
  <xdr:twoCellAnchor editAs="oneCell">
    <xdr:from>
      <xdr:col>10</xdr:col>
      <xdr:colOff>438150</xdr:colOff>
      <xdr:row>165</xdr:row>
      <xdr:rowOff>95250</xdr:rowOff>
    </xdr:from>
    <xdr:to>
      <xdr:col>25</xdr:col>
      <xdr:colOff>96478</xdr:colOff>
      <xdr:row>189</xdr:row>
      <xdr:rowOff>105414</xdr:rowOff>
    </xdr:to>
    <xdr:pic>
      <xdr:nvPicPr>
        <xdr:cNvPr id="17" name="Picture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8096250" y="31527750"/>
          <a:ext cx="8802328" cy="4582164"/>
        </a:xfrm>
        <a:prstGeom prst="rect">
          <a:avLst/>
        </a:prstGeom>
      </xdr:spPr>
    </xdr:pic>
    <xdr:clientData/>
  </xdr:twoCellAnchor>
  <xdr:twoCellAnchor editAs="oneCell">
    <xdr:from>
      <xdr:col>3</xdr:col>
      <xdr:colOff>485775</xdr:colOff>
      <xdr:row>166</xdr:row>
      <xdr:rowOff>133350</xdr:rowOff>
    </xdr:from>
    <xdr:to>
      <xdr:col>10</xdr:col>
      <xdr:colOff>305427</xdr:colOff>
      <xdr:row>190</xdr:row>
      <xdr:rowOff>181620</xdr:rowOff>
    </xdr:to>
    <xdr:pic>
      <xdr:nvPicPr>
        <xdr:cNvPr id="18" name="Picture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3467100" y="31756350"/>
          <a:ext cx="4496427" cy="4620270"/>
        </a:xfrm>
        <a:prstGeom prst="rect">
          <a:avLst/>
        </a:prstGeom>
      </xdr:spPr>
    </xdr:pic>
    <xdr:clientData/>
  </xdr:twoCellAnchor>
  <xdr:twoCellAnchor editAs="oneCell">
    <xdr:from>
      <xdr:col>4</xdr:col>
      <xdr:colOff>800100</xdr:colOff>
      <xdr:row>198</xdr:row>
      <xdr:rowOff>0</xdr:rowOff>
    </xdr:from>
    <xdr:to>
      <xdr:col>12</xdr:col>
      <xdr:colOff>162547</xdr:colOff>
      <xdr:row>203</xdr:row>
      <xdr:rowOff>28712</xdr:rowOff>
    </xdr:to>
    <xdr:pic>
      <xdr:nvPicPr>
        <xdr:cNvPr id="19" name="Picture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4581525" y="37719000"/>
          <a:ext cx="4458322" cy="981212"/>
        </a:xfrm>
        <a:prstGeom prst="rect">
          <a:avLst/>
        </a:prstGeom>
      </xdr:spPr>
    </xdr:pic>
    <xdr:clientData/>
  </xdr:twoCellAnchor>
  <xdr:twoCellAnchor editAs="oneCell">
    <xdr:from>
      <xdr:col>12</xdr:col>
      <xdr:colOff>47625</xdr:colOff>
      <xdr:row>195</xdr:row>
      <xdr:rowOff>171450</xdr:rowOff>
    </xdr:from>
    <xdr:to>
      <xdr:col>19</xdr:col>
      <xdr:colOff>114905</xdr:colOff>
      <xdr:row>213</xdr:row>
      <xdr:rowOff>143350</xdr:rowOff>
    </xdr:to>
    <xdr:pic>
      <xdr:nvPicPr>
        <xdr:cNvPr id="20" name="Picture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8924925" y="37318950"/>
          <a:ext cx="4334480" cy="3400900"/>
        </a:xfrm>
        <a:prstGeom prst="rect">
          <a:avLst/>
        </a:prstGeom>
      </xdr:spPr>
    </xdr:pic>
    <xdr:clientData/>
  </xdr:twoCellAnchor>
  <xdr:twoCellAnchor editAs="oneCell">
    <xdr:from>
      <xdr:col>6</xdr:col>
      <xdr:colOff>142875</xdr:colOff>
      <xdr:row>216</xdr:row>
      <xdr:rowOff>133351</xdr:rowOff>
    </xdr:from>
    <xdr:to>
      <xdr:col>10</xdr:col>
      <xdr:colOff>171450</xdr:colOff>
      <xdr:row>226</xdr:row>
      <xdr:rowOff>34529</xdr:rowOff>
    </xdr:to>
    <xdr:pic>
      <xdr:nvPicPr>
        <xdr:cNvPr id="21" name="Picture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5362575" y="41281351"/>
          <a:ext cx="2466975" cy="1806178"/>
        </a:xfrm>
        <a:prstGeom prst="rect">
          <a:avLst/>
        </a:prstGeom>
      </xdr:spPr>
    </xdr:pic>
    <xdr:clientData/>
  </xdr:twoCellAnchor>
  <xdr:twoCellAnchor editAs="oneCell">
    <xdr:from>
      <xdr:col>6</xdr:col>
      <xdr:colOff>552450</xdr:colOff>
      <xdr:row>227</xdr:row>
      <xdr:rowOff>9524</xdr:rowOff>
    </xdr:from>
    <xdr:to>
      <xdr:col>9</xdr:col>
      <xdr:colOff>466856</xdr:colOff>
      <xdr:row>239</xdr:row>
      <xdr:rowOff>39169</xdr:rowOff>
    </xdr:to>
    <xdr:pic>
      <xdr:nvPicPr>
        <xdr:cNvPr id="22" name="Picture 21">
          <a:extLst>
            <a:ext uri="{FF2B5EF4-FFF2-40B4-BE49-F238E27FC236}">
              <a16:creationId xmlns:a16="http://schemas.microsoft.com/office/drawing/2014/main" id="{00000000-0008-0000-0700-000016000000}"/>
            </a:ext>
          </a:extLst>
        </xdr:cNvPr>
        <xdr:cNvPicPr>
          <a:picLocks noChangeAspect="1"/>
        </xdr:cNvPicPr>
      </xdr:nvPicPr>
      <xdr:blipFill>
        <a:blip xmlns:r="http://schemas.openxmlformats.org/officeDocument/2006/relationships" r:embed="rId18"/>
        <a:stretch>
          <a:fillRect/>
        </a:stretch>
      </xdr:blipFill>
      <xdr:spPr>
        <a:xfrm>
          <a:off x="5772150" y="43253024"/>
          <a:ext cx="1743206" cy="2315645"/>
        </a:xfrm>
        <a:prstGeom prst="rect">
          <a:avLst/>
        </a:prstGeom>
      </xdr:spPr>
    </xdr:pic>
    <xdr:clientData/>
  </xdr:twoCellAnchor>
  <xdr:twoCellAnchor editAs="oneCell">
    <xdr:from>
      <xdr:col>11</xdr:col>
      <xdr:colOff>352426</xdr:colOff>
      <xdr:row>216</xdr:row>
      <xdr:rowOff>142875</xdr:rowOff>
    </xdr:from>
    <xdr:to>
      <xdr:col>14</xdr:col>
      <xdr:colOff>64900</xdr:colOff>
      <xdr:row>227</xdr:row>
      <xdr:rowOff>114300</xdr:rowOff>
    </xdr:to>
    <xdr:pic>
      <xdr:nvPicPr>
        <xdr:cNvPr id="23" name="Picture 22">
          <a:extLst>
            <a:ext uri="{FF2B5EF4-FFF2-40B4-BE49-F238E27FC236}">
              <a16:creationId xmlns:a16="http://schemas.microsoft.com/office/drawing/2014/main" id="{00000000-0008-0000-0700-000017000000}"/>
            </a:ext>
          </a:extLst>
        </xdr:cNvPr>
        <xdr:cNvPicPr>
          <a:picLocks noChangeAspect="1"/>
        </xdr:cNvPicPr>
      </xdr:nvPicPr>
      <xdr:blipFill>
        <a:blip xmlns:r="http://schemas.openxmlformats.org/officeDocument/2006/relationships" r:embed="rId19"/>
        <a:stretch>
          <a:fillRect/>
        </a:stretch>
      </xdr:blipFill>
      <xdr:spPr>
        <a:xfrm>
          <a:off x="8620126" y="41290875"/>
          <a:ext cx="1541274" cy="2066925"/>
        </a:xfrm>
        <a:prstGeom prst="rect">
          <a:avLst/>
        </a:prstGeom>
      </xdr:spPr>
    </xdr:pic>
    <xdr:clientData/>
  </xdr:twoCellAnchor>
  <xdr:twoCellAnchor editAs="oneCell">
    <xdr:from>
      <xdr:col>11</xdr:col>
      <xdr:colOff>209550</xdr:colOff>
      <xdr:row>228</xdr:row>
      <xdr:rowOff>104775</xdr:rowOff>
    </xdr:from>
    <xdr:to>
      <xdr:col>14</xdr:col>
      <xdr:colOff>600526</xdr:colOff>
      <xdr:row>240</xdr:row>
      <xdr:rowOff>123825</xdr:rowOff>
    </xdr:to>
    <xdr:pic>
      <xdr:nvPicPr>
        <xdr:cNvPr id="24" name="Picture 23">
          <a:extLst>
            <a:ext uri="{FF2B5EF4-FFF2-40B4-BE49-F238E27FC236}">
              <a16:creationId xmlns:a16="http://schemas.microsoft.com/office/drawing/2014/main" id="{00000000-0008-0000-0700-000018000000}"/>
            </a:ext>
          </a:extLst>
        </xdr:cNvPr>
        <xdr:cNvPicPr>
          <a:picLocks noChangeAspect="1"/>
        </xdr:cNvPicPr>
      </xdr:nvPicPr>
      <xdr:blipFill>
        <a:blip xmlns:r="http://schemas.openxmlformats.org/officeDocument/2006/relationships" r:embed="rId20"/>
        <a:stretch>
          <a:fillRect/>
        </a:stretch>
      </xdr:blipFill>
      <xdr:spPr>
        <a:xfrm>
          <a:off x="8477250" y="43538775"/>
          <a:ext cx="2219776" cy="2305050"/>
        </a:xfrm>
        <a:prstGeom prst="rect">
          <a:avLst/>
        </a:prstGeom>
      </xdr:spPr>
    </xdr:pic>
    <xdr:clientData/>
  </xdr:twoCellAnchor>
  <xdr:twoCellAnchor editAs="oneCell">
    <xdr:from>
      <xdr:col>4</xdr:col>
      <xdr:colOff>419100</xdr:colOff>
      <xdr:row>244</xdr:row>
      <xdr:rowOff>38100</xdr:rowOff>
    </xdr:from>
    <xdr:to>
      <xdr:col>11</xdr:col>
      <xdr:colOff>314937</xdr:colOff>
      <xdr:row>263</xdr:row>
      <xdr:rowOff>86237</xdr:rowOff>
    </xdr:to>
    <xdr:pic>
      <xdr:nvPicPr>
        <xdr:cNvPr id="25" name="Picture 24">
          <a:extLst>
            <a:ext uri="{FF2B5EF4-FFF2-40B4-BE49-F238E27FC236}">
              <a16:creationId xmlns:a16="http://schemas.microsoft.com/office/drawing/2014/main" id="{00000000-0008-0000-0700-000019000000}"/>
            </a:ext>
          </a:extLst>
        </xdr:cNvPr>
        <xdr:cNvPicPr>
          <a:picLocks noChangeAspect="1"/>
        </xdr:cNvPicPr>
      </xdr:nvPicPr>
      <xdr:blipFill>
        <a:blip xmlns:r="http://schemas.openxmlformats.org/officeDocument/2006/relationships" r:embed="rId21"/>
        <a:stretch>
          <a:fillRect/>
        </a:stretch>
      </xdr:blipFill>
      <xdr:spPr>
        <a:xfrm>
          <a:off x="4200525" y="46520100"/>
          <a:ext cx="4382112" cy="3667637"/>
        </a:xfrm>
        <a:prstGeom prst="rect">
          <a:avLst/>
        </a:prstGeom>
      </xdr:spPr>
    </xdr:pic>
    <xdr:clientData/>
  </xdr:twoCellAnchor>
  <xdr:twoCellAnchor editAs="oneCell">
    <xdr:from>
      <xdr:col>11</xdr:col>
      <xdr:colOff>428625</xdr:colOff>
      <xdr:row>243</xdr:row>
      <xdr:rowOff>95250</xdr:rowOff>
    </xdr:from>
    <xdr:to>
      <xdr:col>26</xdr:col>
      <xdr:colOff>58374</xdr:colOff>
      <xdr:row>261</xdr:row>
      <xdr:rowOff>9992</xdr:rowOff>
    </xdr:to>
    <xdr:pic>
      <xdr:nvPicPr>
        <xdr:cNvPr id="26" name="Picture 25">
          <a:extLst>
            <a:ext uri="{FF2B5EF4-FFF2-40B4-BE49-F238E27FC236}">
              <a16:creationId xmlns:a16="http://schemas.microsoft.com/office/drawing/2014/main" id="{00000000-0008-0000-0700-00001A000000}"/>
            </a:ext>
          </a:extLst>
        </xdr:cNvPr>
        <xdr:cNvPicPr>
          <a:picLocks noChangeAspect="1"/>
        </xdr:cNvPicPr>
      </xdr:nvPicPr>
      <xdr:blipFill>
        <a:blip xmlns:r="http://schemas.openxmlformats.org/officeDocument/2006/relationships" r:embed="rId22"/>
        <a:stretch>
          <a:fillRect/>
        </a:stretch>
      </xdr:blipFill>
      <xdr:spPr>
        <a:xfrm>
          <a:off x="8696325" y="46386750"/>
          <a:ext cx="8773749" cy="3343742"/>
        </a:xfrm>
        <a:prstGeom prst="rect">
          <a:avLst/>
        </a:prstGeom>
      </xdr:spPr>
    </xdr:pic>
    <xdr:clientData/>
  </xdr:twoCellAnchor>
  <xdr:twoCellAnchor editAs="oneCell">
    <xdr:from>
      <xdr:col>4</xdr:col>
      <xdr:colOff>523875</xdr:colOff>
      <xdr:row>270</xdr:row>
      <xdr:rowOff>57150</xdr:rowOff>
    </xdr:from>
    <xdr:to>
      <xdr:col>17</xdr:col>
      <xdr:colOff>448801</xdr:colOff>
      <xdr:row>297</xdr:row>
      <xdr:rowOff>86447</xdr:rowOff>
    </xdr:to>
    <xdr:pic>
      <xdr:nvPicPr>
        <xdr:cNvPr id="27" name="Picture 26">
          <a:extLst>
            <a:ext uri="{FF2B5EF4-FFF2-40B4-BE49-F238E27FC236}">
              <a16:creationId xmlns:a16="http://schemas.microsoft.com/office/drawing/2014/main" id="{00000000-0008-0000-0700-00001B000000}"/>
            </a:ext>
          </a:extLst>
        </xdr:cNvPr>
        <xdr:cNvPicPr>
          <a:picLocks noChangeAspect="1"/>
        </xdr:cNvPicPr>
      </xdr:nvPicPr>
      <xdr:blipFill>
        <a:blip xmlns:r="http://schemas.openxmlformats.org/officeDocument/2006/relationships" r:embed="rId23"/>
        <a:stretch>
          <a:fillRect/>
        </a:stretch>
      </xdr:blipFill>
      <xdr:spPr>
        <a:xfrm>
          <a:off x="4305300" y="51492150"/>
          <a:ext cx="8068801" cy="5172797"/>
        </a:xfrm>
        <a:prstGeom prst="rect">
          <a:avLst/>
        </a:prstGeom>
      </xdr:spPr>
    </xdr:pic>
    <xdr:clientData/>
  </xdr:twoCellAnchor>
  <xdr:twoCellAnchor editAs="oneCell">
    <xdr:from>
      <xdr:col>7</xdr:col>
      <xdr:colOff>123825</xdr:colOff>
      <xdr:row>302</xdr:row>
      <xdr:rowOff>76200</xdr:rowOff>
    </xdr:from>
    <xdr:to>
      <xdr:col>18</xdr:col>
      <xdr:colOff>200972</xdr:colOff>
      <xdr:row>333</xdr:row>
      <xdr:rowOff>115130</xdr:rowOff>
    </xdr:to>
    <xdr:pic>
      <xdr:nvPicPr>
        <xdr:cNvPr id="28" name="Picture 27">
          <a:extLst>
            <a:ext uri="{FF2B5EF4-FFF2-40B4-BE49-F238E27FC236}">
              <a16:creationId xmlns:a16="http://schemas.microsoft.com/office/drawing/2014/main" id="{00000000-0008-0000-0700-00001C000000}"/>
            </a:ext>
          </a:extLst>
        </xdr:cNvPr>
        <xdr:cNvPicPr>
          <a:picLocks noChangeAspect="1"/>
        </xdr:cNvPicPr>
      </xdr:nvPicPr>
      <xdr:blipFill>
        <a:blip xmlns:r="http://schemas.openxmlformats.org/officeDocument/2006/relationships" r:embed="rId24"/>
        <a:stretch>
          <a:fillRect/>
        </a:stretch>
      </xdr:blipFill>
      <xdr:spPr>
        <a:xfrm>
          <a:off x="5953125" y="57607200"/>
          <a:ext cx="6782747" cy="5944430"/>
        </a:xfrm>
        <a:prstGeom prst="rect">
          <a:avLst/>
        </a:prstGeom>
      </xdr:spPr>
    </xdr:pic>
    <xdr:clientData/>
  </xdr:twoCellAnchor>
  <xdr:twoCellAnchor editAs="oneCell">
    <xdr:from>
      <xdr:col>7</xdr:col>
      <xdr:colOff>114300</xdr:colOff>
      <xdr:row>339</xdr:row>
      <xdr:rowOff>171450</xdr:rowOff>
    </xdr:from>
    <xdr:to>
      <xdr:col>17</xdr:col>
      <xdr:colOff>334256</xdr:colOff>
      <xdr:row>352</xdr:row>
      <xdr:rowOff>57480</xdr:rowOff>
    </xdr:to>
    <xdr:pic>
      <xdr:nvPicPr>
        <xdr:cNvPr id="29" name="Picture 28">
          <a:extLst>
            <a:ext uri="{FF2B5EF4-FFF2-40B4-BE49-F238E27FC236}">
              <a16:creationId xmlns:a16="http://schemas.microsoft.com/office/drawing/2014/main" id="{00000000-0008-0000-0700-00001D000000}"/>
            </a:ext>
          </a:extLst>
        </xdr:cNvPr>
        <xdr:cNvPicPr>
          <a:picLocks noChangeAspect="1"/>
        </xdr:cNvPicPr>
      </xdr:nvPicPr>
      <xdr:blipFill>
        <a:blip xmlns:r="http://schemas.openxmlformats.org/officeDocument/2006/relationships" r:embed="rId25"/>
        <a:stretch>
          <a:fillRect/>
        </a:stretch>
      </xdr:blipFill>
      <xdr:spPr>
        <a:xfrm>
          <a:off x="5943600" y="64750950"/>
          <a:ext cx="6315956" cy="2362530"/>
        </a:xfrm>
        <a:prstGeom prst="rect">
          <a:avLst/>
        </a:prstGeom>
      </xdr:spPr>
    </xdr:pic>
    <xdr:clientData/>
  </xdr:twoCellAnchor>
  <xdr:twoCellAnchor editAs="oneCell">
    <xdr:from>
      <xdr:col>5</xdr:col>
      <xdr:colOff>123825</xdr:colOff>
      <xdr:row>359</xdr:row>
      <xdr:rowOff>142875</xdr:rowOff>
    </xdr:from>
    <xdr:to>
      <xdr:col>12</xdr:col>
      <xdr:colOff>391158</xdr:colOff>
      <xdr:row>364</xdr:row>
      <xdr:rowOff>143008</xdr:rowOff>
    </xdr:to>
    <xdr:pic>
      <xdr:nvPicPr>
        <xdr:cNvPr id="31" name="Picture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26"/>
        <a:stretch>
          <a:fillRect/>
        </a:stretch>
      </xdr:blipFill>
      <xdr:spPr>
        <a:xfrm>
          <a:off x="4733925" y="68532375"/>
          <a:ext cx="4534533" cy="952633"/>
        </a:xfrm>
        <a:prstGeom prst="rect">
          <a:avLst/>
        </a:prstGeom>
      </xdr:spPr>
    </xdr:pic>
    <xdr:clientData/>
  </xdr:twoCellAnchor>
  <xdr:twoCellAnchor editAs="oneCell">
    <xdr:from>
      <xdr:col>11</xdr:col>
      <xdr:colOff>76200</xdr:colOff>
      <xdr:row>374</xdr:row>
      <xdr:rowOff>104775</xdr:rowOff>
    </xdr:from>
    <xdr:to>
      <xdr:col>18</xdr:col>
      <xdr:colOff>181585</xdr:colOff>
      <xdr:row>377</xdr:row>
      <xdr:rowOff>162013</xdr:rowOff>
    </xdr:to>
    <xdr:pic>
      <xdr:nvPicPr>
        <xdr:cNvPr id="32" name="Picture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27"/>
        <a:stretch>
          <a:fillRect/>
        </a:stretch>
      </xdr:blipFill>
      <xdr:spPr>
        <a:xfrm>
          <a:off x="8343900" y="71351775"/>
          <a:ext cx="4372585" cy="628738"/>
        </a:xfrm>
        <a:prstGeom prst="rect">
          <a:avLst/>
        </a:prstGeom>
      </xdr:spPr>
    </xdr:pic>
    <xdr:clientData/>
  </xdr:twoCellAnchor>
  <xdr:twoCellAnchor editAs="oneCell">
    <xdr:from>
      <xdr:col>10</xdr:col>
      <xdr:colOff>533400</xdr:colOff>
      <xdr:row>370</xdr:row>
      <xdr:rowOff>9525</xdr:rowOff>
    </xdr:from>
    <xdr:to>
      <xdr:col>20</xdr:col>
      <xdr:colOff>477093</xdr:colOff>
      <xdr:row>373</xdr:row>
      <xdr:rowOff>19131</xdr:rowOff>
    </xdr:to>
    <xdr:pic>
      <xdr:nvPicPr>
        <xdr:cNvPr id="33" name="Picture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28"/>
        <a:stretch>
          <a:fillRect/>
        </a:stretch>
      </xdr:blipFill>
      <xdr:spPr>
        <a:xfrm>
          <a:off x="8191500" y="70494525"/>
          <a:ext cx="6039693" cy="581106"/>
        </a:xfrm>
        <a:prstGeom prst="rect">
          <a:avLst/>
        </a:prstGeom>
      </xdr:spPr>
    </xdr:pic>
    <xdr:clientData/>
  </xdr:twoCellAnchor>
  <xdr:twoCellAnchor editAs="oneCell">
    <xdr:from>
      <xdr:col>5</xdr:col>
      <xdr:colOff>47625</xdr:colOff>
      <xdr:row>356</xdr:row>
      <xdr:rowOff>171450</xdr:rowOff>
    </xdr:from>
    <xdr:to>
      <xdr:col>15</xdr:col>
      <xdr:colOff>267581</xdr:colOff>
      <xdr:row>359</xdr:row>
      <xdr:rowOff>19108</xdr:rowOff>
    </xdr:to>
    <xdr:pic>
      <xdr:nvPicPr>
        <xdr:cNvPr id="34" name="Picture 33">
          <a:extLst>
            <a:ext uri="{FF2B5EF4-FFF2-40B4-BE49-F238E27FC236}">
              <a16:creationId xmlns:a16="http://schemas.microsoft.com/office/drawing/2014/main" id="{00000000-0008-0000-0700-000022000000}"/>
            </a:ext>
          </a:extLst>
        </xdr:cNvPr>
        <xdr:cNvPicPr>
          <a:picLocks noChangeAspect="1"/>
        </xdr:cNvPicPr>
      </xdr:nvPicPr>
      <xdr:blipFill>
        <a:blip xmlns:r="http://schemas.openxmlformats.org/officeDocument/2006/relationships" r:embed="rId29"/>
        <a:stretch>
          <a:fillRect/>
        </a:stretch>
      </xdr:blipFill>
      <xdr:spPr>
        <a:xfrm>
          <a:off x="4657725" y="67989450"/>
          <a:ext cx="6315956" cy="419158"/>
        </a:xfrm>
        <a:prstGeom prst="rect">
          <a:avLst/>
        </a:prstGeom>
      </xdr:spPr>
    </xdr:pic>
    <xdr:clientData/>
  </xdr:twoCellAnchor>
  <xdr:twoCellAnchor editAs="oneCell">
    <xdr:from>
      <xdr:col>14</xdr:col>
      <xdr:colOff>381000</xdr:colOff>
      <xdr:row>386</xdr:row>
      <xdr:rowOff>104775</xdr:rowOff>
    </xdr:from>
    <xdr:to>
      <xdr:col>26</xdr:col>
      <xdr:colOff>286758</xdr:colOff>
      <xdr:row>403</xdr:row>
      <xdr:rowOff>57595</xdr:rowOff>
    </xdr:to>
    <xdr:pic>
      <xdr:nvPicPr>
        <xdr:cNvPr id="35" name="Picture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30"/>
        <a:stretch>
          <a:fillRect/>
        </a:stretch>
      </xdr:blipFill>
      <xdr:spPr>
        <a:xfrm>
          <a:off x="10477500" y="73637775"/>
          <a:ext cx="7220958" cy="3191320"/>
        </a:xfrm>
        <a:prstGeom prst="rect">
          <a:avLst/>
        </a:prstGeom>
      </xdr:spPr>
    </xdr:pic>
    <xdr:clientData/>
  </xdr:twoCellAnchor>
  <xdr:twoCellAnchor editAs="oneCell">
    <xdr:from>
      <xdr:col>6</xdr:col>
      <xdr:colOff>581026</xdr:colOff>
      <xdr:row>385</xdr:row>
      <xdr:rowOff>171450</xdr:rowOff>
    </xdr:from>
    <xdr:to>
      <xdr:col>11</xdr:col>
      <xdr:colOff>352426</xdr:colOff>
      <xdr:row>405</xdr:row>
      <xdr:rowOff>185524</xdr:rowOff>
    </xdr:to>
    <xdr:pic>
      <xdr:nvPicPr>
        <xdr:cNvPr id="36" name="Picture 35">
          <a:extLst>
            <a:ext uri="{FF2B5EF4-FFF2-40B4-BE49-F238E27FC236}">
              <a16:creationId xmlns:a16="http://schemas.microsoft.com/office/drawing/2014/main" id="{00000000-0008-0000-0700-000024000000}"/>
            </a:ext>
          </a:extLst>
        </xdr:cNvPr>
        <xdr:cNvPicPr>
          <a:picLocks noChangeAspect="1"/>
        </xdr:cNvPicPr>
      </xdr:nvPicPr>
      <xdr:blipFill>
        <a:blip xmlns:r="http://schemas.openxmlformats.org/officeDocument/2006/relationships" r:embed="rId31"/>
        <a:stretch>
          <a:fillRect/>
        </a:stretch>
      </xdr:blipFill>
      <xdr:spPr>
        <a:xfrm>
          <a:off x="5800726" y="73513950"/>
          <a:ext cx="2819400" cy="3824074"/>
        </a:xfrm>
        <a:prstGeom prst="rect">
          <a:avLst/>
        </a:prstGeom>
      </xdr:spPr>
    </xdr:pic>
    <xdr:clientData/>
  </xdr:twoCellAnchor>
  <xdr:twoCellAnchor editAs="oneCell">
    <xdr:from>
      <xdr:col>20</xdr:col>
      <xdr:colOff>504825</xdr:colOff>
      <xdr:row>428</xdr:row>
      <xdr:rowOff>114300</xdr:rowOff>
    </xdr:from>
    <xdr:to>
      <xdr:col>27</xdr:col>
      <xdr:colOff>514947</xdr:colOff>
      <xdr:row>445</xdr:row>
      <xdr:rowOff>48068</xdr:rowOff>
    </xdr:to>
    <xdr:pic>
      <xdr:nvPicPr>
        <xdr:cNvPr id="37" name="Picture 36">
          <a:extLst>
            <a:ext uri="{FF2B5EF4-FFF2-40B4-BE49-F238E27FC236}">
              <a16:creationId xmlns:a16="http://schemas.microsoft.com/office/drawing/2014/main" id="{00000000-0008-0000-0700-000025000000}"/>
            </a:ext>
          </a:extLst>
        </xdr:cNvPr>
        <xdr:cNvPicPr>
          <a:picLocks noChangeAspect="1"/>
        </xdr:cNvPicPr>
      </xdr:nvPicPr>
      <xdr:blipFill>
        <a:blip xmlns:r="http://schemas.openxmlformats.org/officeDocument/2006/relationships" r:embed="rId32"/>
        <a:stretch>
          <a:fillRect/>
        </a:stretch>
      </xdr:blipFill>
      <xdr:spPr>
        <a:xfrm>
          <a:off x="14258925" y="81648300"/>
          <a:ext cx="4277322" cy="3172268"/>
        </a:xfrm>
        <a:prstGeom prst="rect">
          <a:avLst/>
        </a:prstGeom>
      </xdr:spPr>
    </xdr:pic>
    <xdr:clientData/>
  </xdr:twoCellAnchor>
  <xdr:twoCellAnchor editAs="oneCell">
    <xdr:from>
      <xdr:col>10</xdr:col>
      <xdr:colOff>162517</xdr:colOff>
      <xdr:row>424</xdr:row>
      <xdr:rowOff>152400</xdr:rowOff>
    </xdr:from>
    <xdr:to>
      <xdr:col>20</xdr:col>
      <xdr:colOff>420319</xdr:colOff>
      <xdr:row>444</xdr:row>
      <xdr:rowOff>28575</xdr:rowOff>
    </xdr:to>
    <xdr:pic>
      <xdr:nvPicPr>
        <xdr:cNvPr id="38" name="Picture 37">
          <a:extLst>
            <a:ext uri="{FF2B5EF4-FFF2-40B4-BE49-F238E27FC236}">
              <a16:creationId xmlns:a16="http://schemas.microsoft.com/office/drawing/2014/main" id="{00000000-0008-0000-0700-000026000000}"/>
            </a:ext>
          </a:extLst>
        </xdr:cNvPr>
        <xdr:cNvPicPr>
          <a:picLocks noChangeAspect="1"/>
        </xdr:cNvPicPr>
      </xdr:nvPicPr>
      <xdr:blipFill>
        <a:blip xmlns:r="http://schemas.openxmlformats.org/officeDocument/2006/relationships" r:embed="rId33"/>
        <a:stretch>
          <a:fillRect/>
        </a:stretch>
      </xdr:blipFill>
      <xdr:spPr>
        <a:xfrm>
          <a:off x="7820617" y="80924400"/>
          <a:ext cx="6353802" cy="36861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13</xdr:col>
      <xdr:colOff>28575</xdr:colOff>
      <xdr:row>3</xdr:row>
      <xdr:rowOff>123825</xdr:rowOff>
    </xdr:from>
    <xdr:to>
      <xdr:col>23</xdr:col>
      <xdr:colOff>456097</xdr:colOff>
      <xdr:row>35</xdr:row>
      <xdr:rowOff>152400</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11391900" y="695325"/>
          <a:ext cx="6523522" cy="6124575"/>
        </a:xfrm>
        <a:prstGeom prst="rect">
          <a:avLst/>
        </a:prstGeom>
      </xdr:spPr>
    </xdr:pic>
    <xdr:clientData/>
  </xdr:twoCellAnchor>
  <xdr:twoCellAnchor editAs="oneCell">
    <xdr:from>
      <xdr:col>0</xdr:col>
      <xdr:colOff>38100</xdr:colOff>
      <xdr:row>45</xdr:row>
      <xdr:rowOff>176394</xdr:rowOff>
    </xdr:from>
    <xdr:to>
      <xdr:col>2</xdr:col>
      <xdr:colOff>1066800</xdr:colOff>
      <xdr:row>78</xdr:row>
      <xdr:rowOff>108200</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38100" y="8748894"/>
          <a:ext cx="3638550" cy="6218306"/>
        </a:xfrm>
        <a:prstGeom prst="rect">
          <a:avLst/>
        </a:prstGeom>
      </xdr:spPr>
    </xdr:pic>
    <xdr:clientData/>
  </xdr:twoCellAnchor>
  <xdr:twoCellAnchor editAs="oneCell">
    <xdr:from>
      <xdr:col>0</xdr:col>
      <xdr:colOff>0</xdr:colOff>
      <xdr:row>85</xdr:row>
      <xdr:rowOff>0</xdr:rowOff>
    </xdr:from>
    <xdr:to>
      <xdr:col>9</xdr:col>
      <xdr:colOff>525194</xdr:colOff>
      <xdr:row>119</xdr:row>
      <xdr:rowOff>105694</xdr:rowOff>
    </xdr:to>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0" y="16192500"/>
          <a:ext cx="9450119" cy="658269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mdpi.com/2313-4321/1/1/25" TargetMode="External"/><Relationship Id="rId13" Type="http://schemas.openxmlformats.org/officeDocument/2006/relationships/hyperlink" Target="https://www.sciencedirect.com/science/article/abs/pii/S0959652614003837" TargetMode="External"/><Relationship Id="rId18" Type="http://schemas.openxmlformats.org/officeDocument/2006/relationships/hyperlink" Target="https://www.sciencedirect.com/science/article/abs/pii/S0301421512011068" TargetMode="External"/><Relationship Id="rId26" Type="http://schemas.openxmlformats.org/officeDocument/2006/relationships/hyperlink" Target="https://doi.org/10.1016/j.resconrec.2017.10.040" TargetMode="External"/><Relationship Id="rId3" Type="http://schemas.openxmlformats.org/officeDocument/2006/relationships/hyperlink" Target="https://pubs.acs.org/doi/pdf/10.1021/es505415d" TargetMode="External"/><Relationship Id="rId21" Type="http://schemas.openxmlformats.org/officeDocument/2006/relationships/hyperlink" Target="https://www.sciencedirect.com/science/article/pii/S0301421518302726" TargetMode="External"/><Relationship Id="rId7" Type="http://schemas.openxmlformats.org/officeDocument/2006/relationships/hyperlink" Target="https://www.energy.gov/sites/prod/files/piprod/documents/cms_dec_17_full_web.pdf" TargetMode="External"/><Relationship Id="rId12" Type="http://schemas.openxmlformats.org/officeDocument/2006/relationships/hyperlink" Target="https://www.oeko.de/publikationen/p-details/ressourceneffizienz-und-ressourcenpolitische-aspekte-des-systems-elektromobilitaet-arbeitspaket-7-d" TargetMode="External"/><Relationship Id="rId17" Type="http://schemas.openxmlformats.org/officeDocument/2006/relationships/hyperlink" Target="https://www.sciencedirect.com/science/article/abs/pii/S0360544218312143" TargetMode="External"/><Relationship Id="rId25" Type="http://schemas.openxmlformats.org/officeDocument/2006/relationships/hyperlink" Target="https://doi.org/10.1111/jiec.12458" TargetMode="External"/><Relationship Id="rId2" Type="http://schemas.openxmlformats.org/officeDocument/2006/relationships/hyperlink" Target="https://www.jstor.org/stable/pdf/26268481.pdf?refreqid=excelsior%3Ab7df8b30df16f78642f06f7ac4de04fb&amp;ab_segments=&amp;origin=&amp;initiator=&amp;acceptTC=1" TargetMode="External"/><Relationship Id="rId16" Type="http://schemas.openxmlformats.org/officeDocument/2006/relationships/hyperlink" Target="https://www.sciencedirect.com/science/article/abs/pii/S1364032118303861" TargetMode="External"/><Relationship Id="rId20" Type="http://schemas.openxmlformats.org/officeDocument/2006/relationships/hyperlink" Target="https://www.sciencedirect.com/science/article/abs/pii/S0960148116302816?via%3Dihub" TargetMode="External"/><Relationship Id="rId29" Type="http://schemas.openxmlformats.org/officeDocument/2006/relationships/printerSettings" Target="../printerSettings/printerSettings1.bin"/><Relationship Id="rId1" Type="http://schemas.openxmlformats.org/officeDocument/2006/relationships/hyperlink" Target="https://publications.lib.chalmers.se/records/fulltext/162842.pdf" TargetMode="External"/><Relationship Id="rId6" Type="http://schemas.openxmlformats.org/officeDocument/2006/relationships/hyperlink" Target="https://www.mdpi.com/2075-163X/7/11/203" TargetMode="External"/><Relationship Id="rId11" Type="http://schemas.openxmlformats.org/officeDocument/2006/relationships/hyperlink" Target="https://www.mdpi.com/2079-9276/7/1/9" TargetMode="External"/><Relationship Id="rId24" Type="http://schemas.openxmlformats.org/officeDocument/2006/relationships/hyperlink" Target="https://doi.org/10.1016/j.resconrec.2018.11.024" TargetMode="External"/><Relationship Id="rId5" Type="http://schemas.openxmlformats.org/officeDocument/2006/relationships/hyperlink" Target="https://www.sciencedirect.com/science/article/pii/S0306261917316732" TargetMode="External"/><Relationship Id="rId15" Type="http://schemas.openxmlformats.org/officeDocument/2006/relationships/hyperlink" Target="https://pubs.acs.org/doi/10.1021/es305007w" TargetMode="External"/><Relationship Id="rId23" Type="http://schemas.openxmlformats.org/officeDocument/2006/relationships/hyperlink" Target="https://op.europa.eu/en/publication-detail/-/publication/7f3762be-aafe-11e6-aab7-01aa75ed71a1/language-en" TargetMode="External"/><Relationship Id="rId28" Type="http://schemas.openxmlformats.org/officeDocument/2006/relationships/hyperlink" Target="https://doi.org/10.1016/j.resconrec.2019.104669" TargetMode="External"/><Relationship Id="rId10" Type="http://schemas.openxmlformats.org/officeDocument/2006/relationships/hyperlink" Target="https://link.springer.com/article/10.1007/s11367-017-1308-9" TargetMode="External"/><Relationship Id="rId19" Type="http://schemas.openxmlformats.org/officeDocument/2006/relationships/hyperlink" Target="https://op.europa.eu/en/publication-detail/-/publication/505c089c-7655-4546-bd17-83f91d581190/language-en" TargetMode="External"/><Relationship Id="rId4" Type="http://schemas.openxmlformats.org/officeDocument/2006/relationships/hyperlink" Target="https://inis.iaea.org/collection/NCLCollectionStore/_Public/42/052/42052647.pdf" TargetMode="External"/><Relationship Id="rId9" Type="http://schemas.openxmlformats.org/officeDocument/2006/relationships/hyperlink" Target="https://link.springer.com/article/10.1007/s11367-015-0973-9" TargetMode="External"/><Relationship Id="rId14" Type="http://schemas.openxmlformats.org/officeDocument/2006/relationships/hyperlink" Target="https://www.sciencedirect.com/science/article/abs/pii/S0360544212008055" TargetMode="External"/><Relationship Id="rId22" Type="http://schemas.openxmlformats.org/officeDocument/2006/relationships/hyperlink" Target="https://pubs.acs.org/doi/10.1021/acs.est.6b05743" TargetMode="External"/><Relationship Id="rId27" Type="http://schemas.openxmlformats.org/officeDocument/2006/relationships/hyperlink" Target="https://pubs.acs.org/doi/abs/10.1021/acs.est.7b05549" TargetMode="External"/><Relationship Id="rId30"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3" Type="http://schemas.openxmlformats.org/officeDocument/2006/relationships/hyperlink" Target="https://www.oakdenehollins.com/reports/2010/5/1/lanthanide-resources-and-alternatives" TargetMode="External"/><Relationship Id="rId18" Type="http://schemas.openxmlformats.org/officeDocument/2006/relationships/hyperlink" Target="https://ukerc.ac.uk/publications/materials-availability-potential-constraints-to-the-future-lowcarbon-economy-working-paper-ii-batteries-magnets-and-materials/" TargetMode="External"/><Relationship Id="rId26" Type="http://schemas.openxmlformats.org/officeDocument/2006/relationships/hyperlink" Target="https://www.sciencedirect.com/science/article/abs/pii/S1364032118303861" TargetMode="External"/><Relationship Id="rId39" Type="http://schemas.openxmlformats.org/officeDocument/2006/relationships/hyperlink" Target="https://doi.org/10.1016/j.rser.2012.06.023" TargetMode="External"/><Relationship Id="rId21" Type="http://schemas.openxmlformats.org/officeDocument/2006/relationships/hyperlink" Target="https://op.europa.eu/en/publication-detail/-/publication/0bdbe7fc-b214-11e6-871e-01aa75ed71a1/language-en" TargetMode="External"/><Relationship Id="rId34" Type="http://schemas.openxmlformats.org/officeDocument/2006/relationships/hyperlink" Target="https://pubs.acs.org/doi/abs/10.1021/acs.est.7b05549" TargetMode="External"/><Relationship Id="rId7" Type="http://schemas.openxmlformats.org/officeDocument/2006/relationships/hyperlink" Target="https://publications.jrc.ec.europa.eu/repository/handle/JRC65592" TargetMode="External"/><Relationship Id="rId2" Type="http://schemas.openxmlformats.org/officeDocument/2006/relationships/hyperlink" Target="https://www.vestas.com/content/dam/vestas-com/global/en/sustainability/reports-and-ratings/lcas/V1363%2045MW_Mk3a_ISO_LCA_Final_31072017.pdf.coredownload.inline.pdf" TargetMode="External"/><Relationship Id="rId16" Type="http://schemas.openxmlformats.org/officeDocument/2006/relationships/hyperlink" Target="https://pubs.acs.org/doi/10.1021/es305007w" TargetMode="External"/><Relationship Id="rId20" Type="http://schemas.openxmlformats.org/officeDocument/2006/relationships/hyperlink" Target="https://www.umweltbundesamt.de/sites/default/files/medien/1410/publikationen/2017-08-21_texte_68-2017_restra_0.pdf" TargetMode="External"/><Relationship Id="rId29" Type="http://schemas.openxmlformats.org/officeDocument/2006/relationships/hyperlink" Target="https://www.sciencedirect.com/science/article/pii/S2590332220302980?via%3Dihub" TargetMode="External"/><Relationship Id="rId41" Type="http://schemas.openxmlformats.org/officeDocument/2006/relationships/drawing" Target="../drawings/drawing2.xml"/><Relationship Id="rId1" Type="http://schemas.openxmlformats.org/officeDocument/2006/relationships/hyperlink" Target="https://www.sciencedirect.com/science/article/pii/S0301421518302726" TargetMode="External"/><Relationship Id="rId6" Type="http://schemas.openxmlformats.org/officeDocument/2006/relationships/hyperlink" Target="https://pubs.usgs.gov/sir/2011/5036/sir2011-5036.pdf" TargetMode="External"/><Relationship Id="rId11" Type="http://schemas.openxmlformats.org/officeDocument/2006/relationships/hyperlink" Target="https://earthworks.org/wp-content/uploads/2019/04/Responsible-minerals-sourcing-for-renewable-energy-MCEC_UTS_Earthworks-Report.pdf" TargetMode="External"/><Relationship Id="rId24" Type="http://schemas.openxmlformats.org/officeDocument/2006/relationships/hyperlink" Target="https://www.sciencedirect.com/science/article/pii/S0360544219310382" TargetMode="External"/><Relationship Id="rId32" Type="http://schemas.openxmlformats.org/officeDocument/2006/relationships/hyperlink" Target="https://doi.org/10.1016/j.rser.2010.07.066" TargetMode="External"/><Relationship Id="rId37" Type="http://schemas.openxmlformats.org/officeDocument/2006/relationships/hyperlink" Target="http://dx.doi.org/10.1016/j.resourpol.2017.04.010" TargetMode="External"/><Relationship Id="rId40" Type="http://schemas.openxmlformats.org/officeDocument/2006/relationships/printerSettings" Target="../printerSettings/printerSettings2.bin"/><Relationship Id="rId5" Type="http://schemas.openxmlformats.org/officeDocument/2006/relationships/hyperlink" Target="https://epub.wupperinst.org/frontdoor/index/index/docId/5419" TargetMode="External"/><Relationship Id="rId15" Type="http://schemas.openxmlformats.org/officeDocument/2006/relationships/hyperlink" Target="https://www.sciencedirect.com/science/article/pii/S0306261916311497" TargetMode="External"/><Relationship Id="rId23" Type="http://schemas.openxmlformats.org/officeDocument/2006/relationships/hyperlink" Target="https://onlinelibrary.wiley.com/doi/full/10.1002/cite.201700098" TargetMode="External"/><Relationship Id="rId28" Type="http://schemas.openxmlformats.org/officeDocument/2006/relationships/hyperlink" Target="https://www.sciencedirect.com/science/article/pii/S0921800914003681?via%3Dihub" TargetMode="External"/><Relationship Id="rId36" Type="http://schemas.openxmlformats.org/officeDocument/2006/relationships/hyperlink" Target="https://doi.org/10.1007/s40243-019-0146-z" TargetMode="External"/><Relationship Id="rId10" Type="http://schemas.openxmlformats.org/officeDocument/2006/relationships/hyperlink" Target="https://www.sciencedirect.com/science/article/pii/S0959652614009779" TargetMode="External"/><Relationship Id="rId19" Type="http://schemas.openxmlformats.org/officeDocument/2006/relationships/hyperlink" Target="https://www.sciencedirect.com/science/article/pii/S0306261918307578" TargetMode="External"/><Relationship Id="rId31" Type="http://schemas.openxmlformats.org/officeDocument/2006/relationships/hyperlink" Target="https://www.nature.com/articles/s41893-019-0252-z" TargetMode="External"/><Relationship Id="rId4" Type="http://schemas.openxmlformats.org/officeDocument/2006/relationships/hyperlink" Target="https://www.sciencedirect.com/science/article/pii/S1364032115003408" TargetMode="External"/><Relationship Id="rId9" Type="http://schemas.openxmlformats.org/officeDocument/2006/relationships/hyperlink" Target="https://www.sciencedirect.com/science/article/pii/S0301421517307383" TargetMode="External"/><Relationship Id="rId14" Type="http://schemas.openxmlformats.org/officeDocument/2006/relationships/hyperlink" Target="https://www.energy.gov/sites/prod/files/piprod/documents/cms_dec_17_full_web.pdf" TargetMode="External"/><Relationship Id="rId22" Type="http://schemas.openxmlformats.org/officeDocument/2006/relationships/hyperlink" Target="https://documents.worldbank.org/pt/publication/documents-reports/documentdetail/207371500386458722/the-growing-role-of-minerals-and-metals-for-a-low-carbon-future" TargetMode="External"/><Relationship Id="rId27" Type="http://schemas.openxmlformats.org/officeDocument/2006/relationships/hyperlink" Target="https://www.mdpi.com/2079-9276/2/3/303" TargetMode="External"/><Relationship Id="rId30" Type="http://schemas.openxmlformats.org/officeDocument/2006/relationships/hyperlink" Target="https://pubs.acs.org/doi/10.1021/acs.est.9b03765" TargetMode="External"/><Relationship Id="rId35" Type="http://schemas.openxmlformats.org/officeDocument/2006/relationships/hyperlink" Target="https://econpapers.repec.org/scripts/redir.pf?u=https%3A%2F%2Fdoi.org%2F10.1016%252Fj.enpol.2011.11.018;h=repec:eee:enepol:v:41:y:2012:i:c:p:561-574" TargetMode="External"/><Relationship Id="rId8" Type="http://schemas.openxmlformats.org/officeDocument/2006/relationships/hyperlink" Target="https://www.sciencedirect.com/science/article/pii/S0959652614003837" TargetMode="External"/><Relationship Id="rId3" Type="http://schemas.openxmlformats.org/officeDocument/2006/relationships/hyperlink" Target="https://www.vestas.com/content/dam/vestas-com/global/en/sustainability/reports-and-ratings/lcas/0075-0998_V01%20-%20LCA%20of%20Electricity%20Production%20from%20an%20onshore%20V116-2.0%20MW%20Wind%20Plant_120718_v1.1.pdf.coredownload.inline.pdf" TargetMode="External"/><Relationship Id="rId12" Type="http://schemas.openxmlformats.org/officeDocument/2006/relationships/hyperlink" Target="https://www.mdpi.com/2079-9276/5/2/19" TargetMode="External"/><Relationship Id="rId17" Type="http://schemas.openxmlformats.org/officeDocument/2006/relationships/hyperlink" Target="https://www.sciencedirect.com/science/article/pii/S0921344916301148" TargetMode="External"/><Relationship Id="rId25" Type="http://schemas.openxmlformats.org/officeDocument/2006/relationships/hyperlink" Target="https://op.europa.eu/en/publication-detail/-/publication/19aae047-7f88-11ea-aea8-01aa75ed71a1/language-en" TargetMode="External"/><Relationship Id="rId33" Type="http://schemas.openxmlformats.org/officeDocument/2006/relationships/hyperlink" Target="https://doi.org/10.1016/j.resconrec.2019.05.015" TargetMode="External"/><Relationship Id="rId38" Type="http://schemas.openxmlformats.org/officeDocument/2006/relationships/hyperlink" Target="https://doi.org/10.1016/j.apenergy.2019.113612"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doi.org/10.1016/j.apenergy.2016.08.062" TargetMode="External"/><Relationship Id="rId13" Type="http://schemas.openxmlformats.org/officeDocument/2006/relationships/hyperlink" Target="https://op.europa.eu/en/publication-detail/-/publication/19aae047-7f88-11ea-aea8-01aa75ed71a1/language-en" TargetMode="External"/><Relationship Id="rId18" Type="http://schemas.openxmlformats.org/officeDocument/2006/relationships/hyperlink" Target="https://link.springer.com/article/10.1557/mrs.2012.50" TargetMode="External"/><Relationship Id="rId3" Type="http://schemas.openxmlformats.org/officeDocument/2006/relationships/hyperlink" Target="https://www.sciencedirect.com/science/article/abs/pii/S1364032118303861" TargetMode="External"/><Relationship Id="rId21" Type="http://schemas.openxmlformats.org/officeDocument/2006/relationships/printerSettings" Target="../printerSettings/printerSettings3.bin"/><Relationship Id="rId7" Type="http://schemas.openxmlformats.org/officeDocument/2006/relationships/hyperlink" Target="https://doi.org/10.1016/j.resconrec.2019.05.015" TargetMode="External"/><Relationship Id="rId12" Type="http://schemas.openxmlformats.org/officeDocument/2006/relationships/hyperlink" Target="https://www.sciencedirect.com/science/article/pii/S0301421518302726" TargetMode="External"/><Relationship Id="rId17" Type="http://schemas.openxmlformats.org/officeDocument/2006/relationships/hyperlink" Target="https://www.sciencedirect.com/science/article/pii/S1364032115003408" TargetMode="External"/><Relationship Id="rId2" Type="http://schemas.openxmlformats.org/officeDocument/2006/relationships/hyperlink" Target="https://doi.org/10.1016/S0301-4215(00)00090-2" TargetMode="External"/><Relationship Id="rId16" Type="http://schemas.openxmlformats.org/officeDocument/2006/relationships/hyperlink" Target="https://pubs.rsc.org/en/content/articlelanding/2015/ee/c5ee00585j" TargetMode="External"/><Relationship Id="rId20" Type="http://schemas.openxmlformats.org/officeDocument/2006/relationships/hyperlink" Target="https://doi.org/10.1016/j.jclepro.2020.121599" TargetMode="External"/><Relationship Id="rId1" Type="http://schemas.openxmlformats.org/officeDocument/2006/relationships/hyperlink" Target="https://www.sciencedirect.com/science/article/pii/S0360544219310382" TargetMode="External"/><Relationship Id="rId6" Type="http://schemas.openxmlformats.org/officeDocument/2006/relationships/hyperlink" Target="https://doi.org/10.3390/min8040156" TargetMode="External"/><Relationship Id="rId11" Type="http://schemas.openxmlformats.org/officeDocument/2006/relationships/hyperlink" Target="https://www.sciencedirect.com/science/article/pii/S0921800914003681?via%3Dihub" TargetMode="External"/><Relationship Id="rId5" Type="http://schemas.openxmlformats.org/officeDocument/2006/relationships/hyperlink" Target="https://onlinelibrary.wiley.com/doi/epdf/10.1111/nrm.12176" TargetMode="External"/><Relationship Id="rId15" Type="http://schemas.openxmlformats.org/officeDocument/2006/relationships/hyperlink" Target="http://dx.doi.org/10.1016/j.enpol.2017.06.028" TargetMode="External"/><Relationship Id="rId10" Type="http://schemas.openxmlformats.org/officeDocument/2006/relationships/hyperlink" Target="https://www.europarl.europa.eu/RegData/etudes/etudes/join/2011/471604/IPOL-JOIN_ET(2011)471604_EN.pdf" TargetMode="External"/><Relationship Id="rId19" Type="http://schemas.openxmlformats.org/officeDocument/2006/relationships/hyperlink" Target="https://doi.org/10.3390/resources5020019" TargetMode="External"/><Relationship Id="rId4" Type="http://schemas.openxmlformats.org/officeDocument/2006/relationships/hyperlink" Target="https://publications.jrc.ec.europa.eu/repository/handle/JRC65592" TargetMode="External"/><Relationship Id="rId9" Type="http://schemas.openxmlformats.org/officeDocument/2006/relationships/hyperlink" Target="https://documents.worldbank.org/pt/publication/documents-reports/documentdetail/207371500386458722/the-growing-role-of-minerals-and-metals-for-a-low-carbon-future" TargetMode="External"/><Relationship Id="rId14" Type="http://schemas.openxmlformats.org/officeDocument/2006/relationships/hyperlink" Target="https://earthworks.org/wp-content/uploads/2019/04/Responsible-minerals-sourcing-for-renewable-energy-MCEC_UTS_Earthworks-Report.pdf" TargetMode="External"/><Relationship Id="rId2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8" Type="http://schemas.openxmlformats.org/officeDocument/2006/relationships/drawing" Target="../drawings/drawing4.xml"/><Relationship Id="rId3" Type="http://schemas.openxmlformats.org/officeDocument/2006/relationships/hyperlink" Target="https://www.isi.fraunhofer.de/content/dam/isi/dokumente/ccn/2009/Schlussbericht_lang_20090515.pdf" TargetMode="External"/><Relationship Id="rId7" Type="http://schemas.openxmlformats.org/officeDocument/2006/relationships/hyperlink" Target="https://solarpaces.nrel.gov/" TargetMode="External"/><Relationship Id="rId2" Type="http://schemas.openxmlformats.org/officeDocument/2006/relationships/hyperlink" Target="https://www.sciencedirect.com/science/article/pii/S1364032115003408" TargetMode="External"/><Relationship Id="rId1" Type="http://schemas.openxmlformats.org/officeDocument/2006/relationships/hyperlink" Target="https://doi.org/10.1016/j.energy.2012.04.057" TargetMode="External"/><Relationship Id="rId6" Type="http://schemas.openxmlformats.org/officeDocument/2006/relationships/hyperlink" Target="https://www.savethehighseas.org/wp-content/uploads/2017/05/DSM-RE-Resource-Report_UTS_July2016.pdf" TargetMode="External"/><Relationship Id="rId5" Type="http://schemas.openxmlformats.org/officeDocument/2006/relationships/hyperlink" Target="https://documents.worldbank.org/pt/publication/documents-reports/documentdetail/207371500386458722/the-growing-role-of-minerals-and-metals-for-a-low-carbon-future" TargetMode="External"/><Relationship Id="rId4" Type="http://schemas.openxmlformats.org/officeDocument/2006/relationships/hyperlink" Target="https://publications.jrc.ec.europa.eu/repository/handle/JRC65592"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doi.org/10.1016/j.energy.2018.06.149" TargetMode="External"/><Relationship Id="rId7" Type="http://schemas.openxmlformats.org/officeDocument/2006/relationships/drawing" Target="../drawings/drawing5.xml"/><Relationship Id="rId2" Type="http://schemas.openxmlformats.org/officeDocument/2006/relationships/hyperlink" Target="https://www.sciencedirect.com/science/article/pii/S0921800914003681?via%3Dihub" TargetMode="External"/><Relationship Id="rId1" Type="http://schemas.openxmlformats.org/officeDocument/2006/relationships/hyperlink" Target="https://publications.jrc.ec.europa.eu/repository/handle/JRC65592" TargetMode="External"/><Relationship Id="rId6" Type="http://schemas.openxmlformats.org/officeDocument/2006/relationships/printerSettings" Target="../printerSettings/printerSettings4.bin"/><Relationship Id="rId5" Type="http://schemas.openxmlformats.org/officeDocument/2006/relationships/hyperlink" Target="https://web.mit.edu/nse/pdf/researchstaff/forsberg/FHR%20Point%20Design%2014-002%20UCB.pdf" TargetMode="External"/><Relationship Id="rId4" Type="http://schemas.openxmlformats.org/officeDocument/2006/relationships/hyperlink" Target="https://doi.org/10.1016/j.resconrec.2019.05.015"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s://doi.org/10.1016/j.apenergy.2020.115072" TargetMode="External"/><Relationship Id="rId13" Type="http://schemas.openxmlformats.org/officeDocument/2006/relationships/hyperlink" Target="https://doi.org/10.1016/j.joule.2017.08.019" TargetMode="External"/><Relationship Id="rId18" Type="http://schemas.openxmlformats.org/officeDocument/2006/relationships/hyperlink" Target="https://publications.jrc.ec.europa.eu/repository/handle/JRC113360" TargetMode="External"/><Relationship Id="rId3" Type="http://schemas.openxmlformats.org/officeDocument/2006/relationships/hyperlink" Target="https://www.mckinsey.com/~/media/mckinsey/industries/metals%20and%20mining/our%20insights/lithium%20and%20cobalt%20a%20tale%20of%20two%20commodities/lithium-and-cobalt-a-tale-of-two-commodities.pdf" TargetMode="External"/><Relationship Id="rId21" Type="http://schemas.openxmlformats.org/officeDocument/2006/relationships/hyperlink" Target="https://doi.org/10.1016/j.resconrec.2018.01.031" TargetMode="External"/><Relationship Id="rId7" Type="http://schemas.openxmlformats.org/officeDocument/2006/relationships/hyperlink" Target="https://doi.org/10.1787/bdb28e12-en" TargetMode="External"/><Relationship Id="rId12" Type="http://schemas.openxmlformats.org/officeDocument/2006/relationships/hyperlink" Target="https://op.europa.eu/en/publication-detail/-/publication/505c089c-7655-4546-bd17-83f91d581190/language-en" TargetMode="External"/><Relationship Id="rId17" Type="http://schemas.openxmlformats.org/officeDocument/2006/relationships/hyperlink" Target="https://publications.anl.gov/anlpubs/2010/11/68455.pdf" TargetMode="External"/><Relationship Id="rId25" Type="http://schemas.openxmlformats.org/officeDocument/2006/relationships/drawing" Target="../drawings/drawing6.xml"/><Relationship Id="rId2" Type="http://schemas.openxmlformats.org/officeDocument/2006/relationships/hyperlink" Target="https://www.isi.fraunhofer.de/content/dam/isi/dokumente/ccn/2009/Schlussbericht_lang_20090515.pdf" TargetMode="External"/><Relationship Id="rId16" Type="http://schemas.openxmlformats.org/officeDocument/2006/relationships/hyperlink" Target="https://www.umweltbundesamt.de/publikationen/ableitung-von-recycling-umweltanforderungen" TargetMode="External"/><Relationship Id="rId20" Type="http://schemas.openxmlformats.org/officeDocument/2006/relationships/hyperlink" Target="https://link.springer.com/chapter/10.1007/978-3-319-69950-9_3" TargetMode="External"/><Relationship Id="rId1" Type="http://schemas.openxmlformats.org/officeDocument/2006/relationships/hyperlink" Target="https://doi.org/10.1016/S1361-9209(00)00030-4" TargetMode="External"/><Relationship Id="rId6" Type="http://schemas.openxmlformats.org/officeDocument/2006/relationships/hyperlink" Target="https://www.sciencedirect.com/science/article/pii/S0306261917316732" TargetMode="External"/><Relationship Id="rId11" Type="http://schemas.openxmlformats.org/officeDocument/2006/relationships/hyperlink" Target="https://doi.org/10.1016/j.apenergy.2011.12.062" TargetMode="External"/><Relationship Id="rId24" Type="http://schemas.openxmlformats.org/officeDocument/2006/relationships/printerSettings" Target="../printerSettings/printerSettings5.bin"/><Relationship Id="rId5" Type="http://schemas.openxmlformats.org/officeDocument/2006/relationships/hyperlink" Target="https://earthworks.org/wp-content/uploads/2019/04/Responsible-minerals-sourcing-for-renewable-energy-MCEC_UTS_Earthworks-Report.pdf" TargetMode="External"/><Relationship Id="rId15" Type="http://schemas.openxmlformats.org/officeDocument/2006/relationships/hyperlink" Target="https://doi.org/10.1016/j.resconrec.2015.07.011" TargetMode="External"/><Relationship Id="rId23" Type="http://schemas.openxmlformats.org/officeDocument/2006/relationships/hyperlink" Target="https://doi.org/10.1016/j.jclepro.2020.121339" TargetMode="External"/><Relationship Id="rId10" Type="http://schemas.openxmlformats.org/officeDocument/2006/relationships/hyperlink" Target="https://doi.org/10.1016/j.resourpol.2011.11.003" TargetMode="External"/><Relationship Id="rId19" Type="http://schemas.openxmlformats.org/officeDocument/2006/relationships/hyperlink" Target="https://www.sciencedirect.com/science/article/pii/S1364032115003408" TargetMode="External"/><Relationship Id="rId4" Type="http://schemas.openxmlformats.org/officeDocument/2006/relationships/hyperlink" Target="https://doi.org/10.3390/batteries5020048" TargetMode="External"/><Relationship Id="rId9" Type="http://schemas.openxmlformats.org/officeDocument/2006/relationships/hyperlink" Target="http://closeloop.fi/wp-content/uploads/2017/05/Li-raw-materials-20170517.pdf" TargetMode="External"/><Relationship Id="rId14" Type="http://schemas.openxmlformats.org/officeDocument/2006/relationships/hyperlink" Target="https://www.researchgate.net/publication/263888647_COFAT_2014_-_Future_Resource_Availability_for_the_Production_of_Lithium-Ion_Vehicle_Batteries" TargetMode="External"/><Relationship Id="rId22" Type="http://schemas.openxmlformats.org/officeDocument/2006/relationships/hyperlink" Target="https://doi.org/10.1021/acssuschemeng.3c00141"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www.needs-project.org/2009/Deliverables/RS1a%20D9.2%20Final%20report%20on%20fuel%20cells.pdf" TargetMode="External"/><Relationship Id="rId13" Type="http://schemas.openxmlformats.org/officeDocument/2006/relationships/hyperlink" Target="http://dx.doi.org/10.1021/acs.jpclett.6b00216" TargetMode="External"/><Relationship Id="rId18" Type="http://schemas.openxmlformats.org/officeDocument/2006/relationships/hyperlink" Target="https://css.umich.edu/sites/default/files/css_doc/CSS06-08.pdf" TargetMode="External"/><Relationship Id="rId26" Type="http://schemas.openxmlformats.org/officeDocument/2006/relationships/printerSettings" Target="../printerSettings/printerSettings6.bin"/><Relationship Id="rId3" Type="http://schemas.openxmlformats.org/officeDocument/2006/relationships/hyperlink" Target="http://www1.eere.energy.gov/hydrogenandfuelcells/mypp/pdfs/fuel_cells.pdf" TargetMode="External"/><Relationship Id="rId21" Type="http://schemas.openxmlformats.org/officeDocument/2006/relationships/hyperlink" Target="https://doi.org/10.1016/j.apenergy.2015.02.049" TargetMode="External"/><Relationship Id="rId7" Type="http://schemas.openxmlformats.org/officeDocument/2006/relationships/hyperlink" Target="https://www.sciencedirect.com/science/article/pii/S095965261730392X" TargetMode="External"/><Relationship Id="rId12" Type="http://schemas.openxmlformats.org/officeDocument/2006/relationships/hyperlink" Target="https://doi.org/10.1016/j.rser.2010.07.066" TargetMode="External"/><Relationship Id="rId17" Type="http://schemas.openxmlformats.org/officeDocument/2006/relationships/hyperlink" Target="https://op.europa.eu/en/publication-detail/-/publication/505c089c-7655-4546-bd17-83f91d581190/language-en" TargetMode="External"/><Relationship Id="rId25" Type="http://schemas.openxmlformats.org/officeDocument/2006/relationships/hyperlink" Target="https://link.springer.com/content/pdf/10.1007/978-3-662-57886-5_14.pdf" TargetMode="External"/><Relationship Id="rId2" Type="http://schemas.openxmlformats.org/officeDocument/2006/relationships/hyperlink" Target="https://www1.eere.energy.gov/hydrogenandfuelcells/pdfs/tiax_platinum.pdf" TargetMode="External"/><Relationship Id="rId16" Type="http://schemas.openxmlformats.org/officeDocument/2006/relationships/hyperlink" Target="https://doi.org/10.3390/resources5020019" TargetMode="External"/><Relationship Id="rId20" Type="http://schemas.openxmlformats.org/officeDocument/2006/relationships/hyperlink" Target="https://doi.org/10.1111/j.1530-9290.2008.00106.x" TargetMode="External"/><Relationship Id="rId1" Type="http://schemas.openxmlformats.org/officeDocument/2006/relationships/hyperlink" Target="https://doi.org/10.1021/es301110e" TargetMode="External"/><Relationship Id="rId6" Type="http://schemas.openxmlformats.org/officeDocument/2006/relationships/hyperlink" Target="https://www.energy.gov/eere/fuelcells/articles/manufacturing-cost-analysis-10-kw-and-25-kw-direct-hydrogen-polymer" TargetMode="External"/><Relationship Id="rId11" Type="http://schemas.openxmlformats.org/officeDocument/2006/relationships/hyperlink" Target="http://hytechcycling.eu/wp-content/uploads/d2-2-report-on-existing-recycling-technologies-applicable-to-fch-products.pdf" TargetMode="External"/><Relationship Id="rId24" Type="http://schemas.openxmlformats.org/officeDocument/2006/relationships/hyperlink" Target="https://doi.org/10.1016/j.ijhydene.2011.05.157" TargetMode="External"/><Relationship Id="rId5" Type="http://schemas.openxmlformats.org/officeDocument/2006/relationships/hyperlink" Target="http://www1.eere.energy.gov/hydrogenandfuelcells/pdfs/fctt_pemfc_cost_review_0908.pdf" TargetMode="External"/><Relationship Id="rId15" Type="http://schemas.openxmlformats.org/officeDocument/2006/relationships/hyperlink" Target="https://www.isi.fraunhofer.de/content/dam/isi/dokumente/ccn/2016/Studie_Zukunftstechnologien-2016.pdf" TargetMode="External"/><Relationship Id="rId23" Type="http://schemas.openxmlformats.org/officeDocument/2006/relationships/hyperlink" Target="https://doi.org/10.1002/ese3.441" TargetMode="External"/><Relationship Id="rId10" Type="http://schemas.openxmlformats.org/officeDocument/2006/relationships/hyperlink" Target="https://www.sciencedirect.com/science/article/pii/S0306261917316732" TargetMode="External"/><Relationship Id="rId19" Type="http://schemas.openxmlformats.org/officeDocument/2006/relationships/hyperlink" Target="https://doi.org/10.1016/j.cossms.2005.01.001" TargetMode="External"/><Relationship Id="rId4" Type="http://schemas.openxmlformats.org/officeDocument/2006/relationships/hyperlink" Target="https://www.energy.gov/eere/fuelcells/articles/mass-production-cost-estimation-direct-h2-pem-fuel-cell-systems-7" TargetMode="External"/><Relationship Id="rId9" Type="http://schemas.openxmlformats.org/officeDocument/2006/relationships/hyperlink" Target="https://doi.org/10.1016/j.renene.2016.03.102" TargetMode="External"/><Relationship Id="rId14" Type="http://schemas.openxmlformats.org/officeDocument/2006/relationships/hyperlink" Target="https://doi.org/10.1007/978-3-658-00085-1_6" TargetMode="External"/><Relationship Id="rId22" Type="http://schemas.openxmlformats.org/officeDocument/2006/relationships/hyperlink" Target="https://www.umweltbundesamt.de/sites/default/files/medien/378/publikationen/texte_07_2016_ableitung_von_recycling-und_umweltanforderungen.pdf" TargetMode="External"/><Relationship Id="rId27"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8" Type="http://schemas.openxmlformats.org/officeDocument/2006/relationships/hyperlink" Target="https://www.ipa.fraunhofer.de/de/Publikationen/studien/studie-indWEDe.html" TargetMode="External"/><Relationship Id="rId13" Type="http://schemas.openxmlformats.org/officeDocument/2006/relationships/hyperlink" Target="https://doi.org/10.1016/j.elecom.2011.02.014" TargetMode="External"/><Relationship Id="rId18" Type="http://schemas.openxmlformats.org/officeDocument/2006/relationships/printerSettings" Target="../printerSettings/printerSettings7.bin"/><Relationship Id="rId3" Type="http://schemas.openxmlformats.org/officeDocument/2006/relationships/hyperlink" Target="https://www.sciencedirect.com/science/article/abs/pii/S0960148116302816?via%3Dihub" TargetMode="External"/><Relationship Id="rId7" Type="http://schemas.openxmlformats.org/officeDocument/2006/relationships/hyperlink" Target="https://doi.org/10.1016/j.ijhydene.2011.06.019" TargetMode="External"/><Relationship Id="rId12" Type="http://schemas.openxmlformats.org/officeDocument/2006/relationships/hyperlink" Target="https://epub.wupperinst.org/frontdoor/deliver/index/docId/5419/file/5419_KRESSE.pdf" TargetMode="External"/><Relationship Id="rId17" Type="http://schemas.openxmlformats.org/officeDocument/2006/relationships/hyperlink" Target="https://doi.org/10.1016/j.ijhydene.2015.01.093" TargetMode="External"/><Relationship Id="rId2" Type="http://schemas.openxmlformats.org/officeDocument/2006/relationships/hyperlink" Target="https://refman.energytransitionmodel.com/publications/2020" TargetMode="External"/><Relationship Id="rId16" Type="http://schemas.openxmlformats.org/officeDocument/2006/relationships/hyperlink" Target="https://doi.org/10.1002/er.6487" TargetMode="External"/><Relationship Id="rId1" Type="http://schemas.openxmlformats.org/officeDocument/2006/relationships/hyperlink" Target="https://doi.org/10.1016/j.apenergy.2019.01.001" TargetMode="External"/><Relationship Id="rId6" Type="http://schemas.openxmlformats.org/officeDocument/2006/relationships/hyperlink" Target="https://doi.org/10.1016/j.ijhydene.2009.09.015" TargetMode="External"/><Relationship Id="rId11" Type="http://schemas.openxmlformats.org/officeDocument/2006/relationships/hyperlink" Target="https://doi.org/10.3390/su10061699" TargetMode="External"/><Relationship Id="rId5" Type="http://schemas.openxmlformats.org/officeDocument/2006/relationships/hyperlink" Target="https://doi.org/10.1016/j.ijhydene.2016.05.069" TargetMode="External"/><Relationship Id="rId15" Type="http://schemas.openxmlformats.org/officeDocument/2006/relationships/hyperlink" Target="https://doi.org/10.3390/en10070860" TargetMode="External"/><Relationship Id="rId10" Type="http://schemas.openxmlformats.org/officeDocument/2006/relationships/hyperlink" Target="https://www.umweltbundesamt.de/publikationen/ableitung-von-recycling-umweltanforderungen" TargetMode="External"/><Relationship Id="rId19" Type="http://schemas.openxmlformats.org/officeDocument/2006/relationships/drawing" Target="../drawings/drawing8.xml"/><Relationship Id="rId4" Type="http://schemas.openxmlformats.org/officeDocument/2006/relationships/hyperlink" Target="https://doi.org/10.1016/j.ijhydene.2010.07.013" TargetMode="External"/><Relationship Id="rId9" Type="http://schemas.openxmlformats.org/officeDocument/2006/relationships/hyperlink" Target="https://doi.org/10.1016/j.ijhydene.2009.12.135" TargetMode="External"/><Relationship Id="rId14" Type="http://schemas.openxmlformats.org/officeDocument/2006/relationships/hyperlink" Target="https://doi.org/10.1016/j.elecom.2011.02.014" TargetMode="External"/></Relationships>
</file>

<file path=xl/worksheets/_rels/sheet9.xml.rels><?xml version="1.0" encoding="UTF-8" standalone="yes"?>
<Relationships xmlns="http://schemas.openxmlformats.org/package/2006/relationships"><Relationship Id="rId3" Type="http://schemas.openxmlformats.org/officeDocument/2006/relationships/hyperlink" Target="https://doi.org/10.1016/j.renene.2022.02.075" TargetMode="External"/><Relationship Id="rId2" Type="http://schemas.openxmlformats.org/officeDocument/2006/relationships/hyperlink" Target="https://doi.org/10.1016/j.energy.2012.01.028" TargetMode="External"/><Relationship Id="rId1" Type="http://schemas.openxmlformats.org/officeDocument/2006/relationships/hyperlink" Target="https://doi.org/10.1016/j.jobe.2021.103253" TargetMode="External"/><Relationship Id="rId5" Type="http://schemas.openxmlformats.org/officeDocument/2006/relationships/drawing" Target="../drawings/drawing9.xml"/><Relationship Id="rId4"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5" tint="0.39997558519241921"/>
  </sheetPr>
  <dimension ref="A1:AP796"/>
  <sheetViews>
    <sheetView topLeftCell="A551" zoomScaleNormal="100" workbookViewId="0">
      <selection activeCell="A577" sqref="A577"/>
    </sheetView>
  </sheetViews>
  <sheetFormatPr defaultRowHeight="15" x14ac:dyDescent="0.25"/>
  <cols>
    <col min="1" max="1" width="18.28515625" customWidth="1"/>
    <col min="2" max="2" width="28.5703125" customWidth="1"/>
    <col min="3" max="3" width="25.85546875" customWidth="1"/>
    <col min="4" max="4" width="20.28515625" customWidth="1"/>
    <col min="5" max="5" width="21.5703125" customWidth="1"/>
    <col min="6" max="6" width="22" customWidth="1"/>
    <col min="7" max="7" width="25.28515625" customWidth="1"/>
    <col min="8" max="8" width="10.7109375" customWidth="1"/>
    <col min="9" max="9" width="24.7109375" customWidth="1"/>
    <col min="10" max="10" width="23.28515625" customWidth="1"/>
    <col min="11" max="12" width="12.5703125" bestFit="1" customWidth="1"/>
    <col min="13" max="13" width="11.5703125" bestFit="1" customWidth="1"/>
    <col min="21" max="21" width="25.42578125" customWidth="1"/>
    <col min="29" max="29" width="9.85546875" bestFit="1" customWidth="1"/>
    <col min="30" max="30" width="32.85546875" customWidth="1"/>
    <col min="31" max="31" width="23.5703125" customWidth="1"/>
    <col min="32" max="32" width="16.140625" customWidth="1"/>
    <col min="33" max="33" width="26.42578125" customWidth="1"/>
    <col min="34" max="34" width="17.140625" customWidth="1"/>
    <col min="35" max="35" width="28.5703125" bestFit="1" customWidth="1"/>
    <col min="36" max="36" width="35.7109375" bestFit="1" customWidth="1"/>
    <col min="38" max="38" width="15" bestFit="1" customWidth="1"/>
    <col min="39" max="39" width="14.5703125" bestFit="1" customWidth="1"/>
    <col min="40" max="40" width="16" bestFit="1" customWidth="1"/>
    <col min="41" max="41" width="18.140625" bestFit="1" customWidth="1"/>
    <col min="42" max="42" width="17.5703125" bestFit="1" customWidth="1"/>
  </cols>
  <sheetData>
    <row r="1" spans="1:24" x14ac:dyDescent="0.25">
      <c r="A1" s="5" t="s">
        <v>5</v>
      </c>
      <c r="B1" s="5"/>
      <c r="C1" s="5"/>
      <c r="D1" s="5"/>
      <c r="E1" s="5"/>
      <c r="F1" s="5"/>
      <c r="G1" s="5"/>
      <c r="H1" s="5"/>
      <c r="I1" s="5"/>
      <c r="J1" s="5"/>
      <c r="K1" s="5"/>
    </row>
    <row r="2" spans="1:24" x14ac:dyDescent="0.25">
      <c r="A2" s="4" t="s">
        <v>6</v>
      </c>
      <c r="B2" s="4"/>
      <c r="C2" s="4"/>
      <c r="D2" s="4"/>
      <c r="E2" s="4"/>
      <c r="F2" s="4"/>
      <c r="G2" s="4"/>
      <c r="H2" s="4"/>
      <c r="I2" s="4"/>
      <c r="J2" s="4"/>
      <c r="K2" s="4"/>
    </row>
    <row r="3" spans="1:24" x14ac:dyDescent="0.25">
      <c r="A3" s="7" t="s">
        <v>8</v>
      </c>
      <c r="B3" s="7"/>
      <c r="C3" s="7"/>
      <c r="D3" s="7"/>
      <c r="E3" s="7"/>
      <c r="F3" s="7"/>
      <c r="G3" s="7"/>
      <c r="H3" s="7"/>
      <c r="I3" s="7"/>
      <c r="J3" s="7"/>
      <c r="K3" s="7"/>
    </row>
    <row r="5" spans="1:24" x14ac:dyDescent="0.25">
      <c r="A5" s="63" t="s">
        <v>1</v>
      </c>
      <c r="B5" s="63"/>
      <c r="C5" s="63"/>
      <c r="D5" s="63"/>
      <c r="E5" s="63"/>
      <c r="F5" s="63"/>
      <c r="G5" s="63"/>
      <c r="H5" s="63"/>
      <c r="I5" s="63"/>
      <c r="J5" s="63"/>
      <c r="K5" s="63"/>
      <c r="L5" s="6"/>
      <c r="M5" s="6"/>
      <c r="N5" s="6"/>
    </row>
    <row r="6" spans="1:24" x14ac:dyDescent="0.25">
      <c r="A6" s="64" t="s">
        <v>2</v>
      </c>
      <c r="B6" s="63"/>
      <c r="C6" s="63"/>
      <c r="D6" s="63"/>
      <c r="E6" s="63"/>
      <c r="F6" s="63"/>
      <c r="G6" s="63"/>
      <c r="H6" s="63"/>
      <c r="I6" s="63"/>
      <c r="J6" s="63"/>
      <c r="K6" s="63"/>
      <c r="L6" s="6"/>
      <c r="M6" s="6"/>
      <c r="N6" s="6"/>
    </row>
    <row r="7" spans="1:24" x14ac:dyDescent="0.25">
      <c r="A7" s="1" t="s">
        <v>3</v>
      </c>
      <c r="B7" s="2"/>
      <c r="C7" s="2"/>
      <c r="D7" s="2"/>
      <c r="E7" s="2"/>
      <c r="F7" s="2"/>
      <c r="G7" s="2"/>
      <c r="H7" s="2"/>
      <c r="I7" s="2"/>
      <c r="J7" s="2"/>
      <c r="K7" s="2"/>
    </row>
    <row r="8" spans="1:24" x14ac:dyDescent="0.25">
      <c r="A8" s="3"/>
      <c r="B8" s="2"/>
      <c r="C8" s="2"/>
      <c r="D8" s="2"/>
      <c r="E8" s="2"/>
      <c r="F8" s="2"/>
      <c r="G8" s="2"/>
      <c r="H8" s="2"/>
      <c r="I8" s="2"/>
      <c r="J8" s="2"/>
      <c r="K8" s="2"/>
    </row>
    <row r="9" spans="1:24" x14ac:dyDescent="0.25">
      <c r="A9" s="3" t="s">
        <v>4</v>
      </c>
      <c r="B9" s="2"/>
      <c r="C9" s="2"/>
      <c r="D9" s="2"/>
      <c r="E9" s="2"/>
      <c r="F9" s="2"/>
      <c r="G9" s="2"/>
      <c r="H9" s="2"/>
      <c r="I9" s="2"/>
      <c r="J9" s="2"/>
      <c r="K9" s="2"/>
    </row>
    <row r="10" spans="1:24" x14ac:dyDescent="0.25">
      <c r="A10" s="2"/>
      <c r="B10" s="2"/>
      <c r="C10" s="2"/>
      <c r="D10" s="3"/>
      <c r="E10" s="2"/>
      <c r="F10" s="2"/>
      <c r="G10" s="2"/>
      <c r="H10" s="2"/>
      <c r="I10" s="2"/>
      <c r="J10" s="2"/>
      <c r="K10" s="2"/>
    </row>
    <row r="11" spans="1:24" x14ac:dyDescent="0.25">
      <c r="A11" s="3"/>
      <c r="B11" s="2"/>
      <c r="C11" s="2"/>
      <c r="D11" s="3"/>
      <c r="E11" s="2"/>
      <c r="F11" s="2"/>
      <c r="G11" s="2"/>
      <c r="H11" s="2"/>
      <c r="I11" s="2"/>
      <c r="J11" s="2"/>
      <c r="K11" s="2"/>
    </row>
    <row r="12" spans="1:24" x14ac:dyDescent="0.25">
      <c r="A12" s="3"/>
      <c r="B12" s="2"/>
      <c r="C12" s="2"/>
      <c r="D12" s="2"/>
      <c r="E12" s="2"/>
      <c r="F12" s="2"/>
      <c r="G12" s="2"/>
      <c r="H12" s="2"/>
      <c r="I12" s="2"/>
      <c r="J12" s="2"/>
      <c r="K12" s="2"/>
    </row>
    <row r="13" spans="1:24" x14ac:dyDescent="0.25">
      <c r="A13" s="3"/>
      <c r="B13" s="2"/>
      <c r="C13" s="2"/>
      <c r="D13" s="2"/>
      <c r="E13" s="2"/>
      <c r="F13" s="2"/>
      <c r="G13" s="2"/>
      <c r="H13" s="2"/>
      <c r="I13" s="2"/>
      <c r="J13" s="2"/>
      <c r="K13" s="2"/>
    </row>
    <row r="14" spans="1:24" x14ac:dyDescent="0.25">
      <c r="A14" s="3"/>
      <c r="B14" s="2"/>
      <c r="C14" s="2"/>
      <c r="D14" s="2"/>
      <c r="E14" s="2"/>
      <c r="F14" s="2"/>
      <c r="G14" s="2"/>
      <c r="H14" s="2"/>
      <c r="I14" s="2"/>
      <c r="J14" s="2"/>
      <c r="K14" s="2"/>
    </row>
    <row r="15" spans="1:24" x14ac:dyDescent="0.25">
      <c r="A15" s="3"/>
      <c r="B15" s="2"/>
      <c r="C15" s="2"/>
      <c r="D15" s="2"/>
      <c r="E15" s="2"/>
      <c r="F15" s="2"/>
      <c r="G15" s="2"/>
      <c r="H15" s="2"/>
      <c r="I15" s="2"/>
      <c r="J15" s="2"/>
      <c r="K15" s="2"/>
    </row>
    <row r="16" spans="1:24" x14ac:dyDescent="0.25">
      <c r="A16" s="3"/>
      <c r="B16" s="2"/>
      <c r="C16" s="2"/>
      <c r="D16" s="2"/>
      <c r="E16" s="2"/>
      <c r="F16" s="2"/>
      <c r="G16" s="2"/>
      <c r="H16" s="2"/>
      <c r="I16" s="27" t="s">
        <v>7</v>
      </c>
      <c r="J16" s="28"/>
      <c r="K16" s="28"/>
      <c r="L16" s="27"/>
      <c r="M16" s="27"/>
      <c r="N16" s="27"/>
      <c r="O16" s="27"/>
      <c r="P16" s="27"/>
      <c r="Q16" s="27"/>
      <c r="R16" s="27"/>
      <c r="S16" s="27"/>
      <c r="T16" s="27"/>
      <c r="U16" s="27"/>
      <c r="V16" s="27"/>
      <c r="W16" s="27"/>
      <c r="X16" s="27"/>
    </row>
    <row r="17" spans="1:24" x14ac:dyDescent="0.25">
      <c r="A17" s="3"/>
      <c r="B17" s="2"/>
      <c r="C17" s="2"/>
      <c r="D17" s="2"/>
      <c r="E17" s="2"/>
      <c r="F17" s="2"/>
      <c r="G17" s="2"/>
      <c r="I17" s="27" t="s">
        <v>9</v>
      </c>
      <c r="J17" s="28"/>
      <c r="K17" s="28"/>
      <c r="L17" s="27"/>
      <c r="M17" s="27"/>
      <c r="N17" s="27"/>
      <c r="O17" s="27"/>
      <c r="P17" s="27"/>
      <c r="Q17" s="27"/>
      <c r="R17" s="27"/>
      <c r="S17" s="27"/>
      <c r="T17" s="27"/>
      <c r="U17" s="27"/>
      <c r="V17" s="27"/>
      <c r="W17" s="27"/>
      <c r="X17" s="27"/>
    </row>
    <row r="18" spans="1:24" x14ac:dyDescent="0.25">
      <c r="A18" s="3"/>
      <c r="B18" s="2"/>
      <c r="C18" s="2"/>
      <c r="D18" s="2"/>
      <c r="E18" s="2"/>
      <c r="F18" s="2"/>
      <c r="G18" s="2"/>
      <c r="H18" s="2"/>
      <c r="I18" s="9" t="s">
        <v>10</v>
      </c>
      <c r="J18" s="2"/>
      <c r="K18" s="2"/>
    </row>
    <row r="19" spans="1:24" x14ac:dyDescent="0.25">
      <c r="A19" s="3"/>
      <c r="B19" s="2"/>
      <c r="C19" s="2"/>
      <c r="D19" s="2"/>
      <c r="E19" s="2"/>
      <c r="F19" s="2"/>
      <c r="G19" s="2"/>
      <c r="H19" s="2"/>
      <c r="I19" s="9" t="s">
        <v>11</v>
      </c>
      <c r="J19" s="2"/>
      <c r="K19" s="2"/>
    </row>
    <row r="20" spans="1:24" x14ac:dyDescent="0.25">
      <c r="A20" s="3"/>
      <c r="B20" s="2"/>
      <c r="C20" s="2"/>
      <c r="D20" s="2"/>
      <c r="E20" s="2"/>
      <c r="F20" s="2"/>
      <c r="G20" s="2"/>
      <c r="H20" s="2"/>
      <c r="I20" s="9" t="s">
        <v>12</v>
      </c>
      <c r="J20" s="2"/>
      <c r="K20" s="2"/>
    </row>
    <row r="21" spans="1:24" x14ac:dyDescent="0.25">
      <c r="A21" s="3"/>
      <c r="B21" s="2"/>
      <c r="C21" s="2"/>
      <c r="D21" s="2"/>
      <c r="E21" s="2"/>
      <c r="F21" s="2"/>
      <c r="G21" s="2"/>
      <c r="H21" s="2"/>
      <c r="I21" s="2"/>
      <c r="J21" s="2"/>
      <c r="K21" s="2"/>
    </row>
    <row r="22" spans="1:24" x14ac:dyDescent="0.25">
      <c r="A22" s="2"/>
      <c r="B22" s="2"/>
      <c r="C22" s="2"/>
      <c r="D22" s="2"/>
      <c r="E22" s="2"/>
      <c r="F22" s="2"/>
      <c r="G22" s="2"/>
      <c r="H22" s="2"/>
      <c r="I22" s="2"/>
      <c r="J22" s="2"/>
      <c r="K22" s="2"/>
    </row>
    <row r="23" spans="1:24" x14ac:dyDescent="0.25">
      <c r="A23" s="4" t="s">
        <v>15</v>
      </c>
      <c r="B23" s="4"/>
      <c r="C23" s="4"/>
      <c r="D23" s="4"/>
      <c r="E23" s="4"/>
      <c r="F23" s="4"/>
      <c r="G23" s="4"/>
      <c r="H23" s="4"/>
      <c r="I23" s="4"/>
      <c r="J23" s="4"/>
      <c r="K23" s="4"/>
      <c r="L23" s="4"/>
      <c r="M23" s="4"/>
      <c r="N23" s="4"/>
    </row>
    <row r="24" spans="1:24" x14ac:dyDescent="0.25">
      <c r="A24" s="11" t="s">
        <v>13</v>
      </c>
      <c r="B24" s="4"/>
      <c r="C24" s="4"/>
      <c r="D24" s="4"/>
      <c r="E24" s="4"/>
      <c r="F24" s="4"/>
      <c r="G24" s="4"/>
      <c r="H24" s="4"/>
      <c r="I24" s="4"/>
      <c r="J24" s="4"/>
      <c r="K24" s="4"/>
      <c r="L24" s="4"/>
      <c r="M24" s="4"/>
      <c r="N24" s="4"/>
    </row>
    <row r="25" spans="1:24" x14ac:dyDescent="0.25">
      <c r="A25" s="12" t="s">
        <v>14</v>
      </c>
      <c r="B25" s="2"/>
      <c r="C25" s="2"/>
      <c r="D25" s="2"/>
      <c r="E25" s="2"/>
      <c r="F25" s="2"/>
      <c r="G25" s="2"/>
      <c r="H25" s="2"/>
      <c r="I25" s="2"/>
      <c r="J25" s="2"/>
      <c r="K25" s="2"/>
    </row>
    <row r="26" spans="1:24" x14ac:dyDescent="0.25">
      <c r="A26" s="3" t="s">
        <v>56</v>
      </c>
      <c r="B26" s="2"/>
      <c r="C26" s="2"/>
      <c r="D26" s="2"/>
      <c r="E26" s="2"/>
      <c r="F26" s="2" t="s">
        <v>61</v>
      </c>
      <c r="G26" s="2"/>
      <c r="H26" s="2"/>
      <c r="I26" s="2"/>
      <c r="J26" s="2"/>
      <c r="K26" s="2"/>
    </row>
    <row r="28" spans="1:24" x14ac:dyDescent="0.25">
      <c r="A28" s="15" t="s">
        <v>16</v>
      </c>
      <c r="B28" t="s">
        <v>46</v>
      </c>
      <c r="C28" s="14" t="s">
        <v>49</v>
      </c>
      <c r="D28" s="9" t="s">
        <v>50</v>
      </c>
      <c r="E28" s="14" t="s">
        <v>51</v>
      </c>
      <c r="F28" t="s">
        <v>52</v>
      </c>
      <c r="G28" s="14" t="s">
        <v>53</v>
      </c>
      <c r="H28" t="s">
        <v>59</v>
      </c>
      <c r="I28" s="14" t="s">
        <v>60</v>
      </c>
      <c r="J28" s="14" t="s">
        <v>475</v>
      </c>
    </row>
    <row r="29" spans="1:24" x14ac:dyDescent="0.25">
      <c r="A29" t="s">
        <v>17</v>
      </c>
      <c r="B29">
        <v>0.28999999999999998</v>
      </c>
      <c r="C29" s="16">
        <f t="shared" ref="C29:C48" si="0">(B29/1000)/$E$52</f>
        <v>1.8125000000000001E-7</v>
      </c>
      <c r="D29">
        <v>11.83</v>
      </c>
      <c r="E29" s="16">
        <f>(D29/1000)/$E$53</f>
        <v>7.1696969696969697E-6</v>
      </c>
      <c r="F29">
        <v>0.31</v>
      </c>
      <c r="G29" s="57">
        <f>(F29/1000)/$E$55</f>
        <v>1.55E-7</v>
      </c>
      <c r="H29">
        <v>12.91</v>
      </c>
      <c r="I29" s="57">
        <f>(H29/1000)/$E$54</f>
        <v>6.455E-6</v>
      </c>
      <c r="J29" s="16">
        <f t="shared" ref="J29:J48" si="1">(F29/1000)/G$245</f>
        <v>5.8490566037735849E-6</v>
      </c>
    </row>
    <row r="30" spans="1:24" x14ac:dyDescent="0.25">
      <c r="A30" t="s">
        <v>18</v>
      </c>
      <c r="B30">
        <v>0.83</v>
      </c>
      <c r="C30" s="16">
        <f t="shared" si="0"/>
        <v>5.1875000000000001E-7</v>
      </c>
      <c r="D30">
        <v>27.14</v>
      </c>
      <c r="E30" s="16">
        <f t="shared" ref="E30:E48" si="2">(D30/1000)/$E$53</f>
        <v>1.644848484848485E-5</v>
      </c>
      <c r="F30">
        <v>129.66</v>
      </c>
      <c r="G30" s="57">
        <f t="shared" ref="G30:G48" si="3">(F30/1000)/$E$55</f>
        <v>6.4830000000000001E-5</v>
      </c>
      <c r="H30">
        <v>1.96</v>
      </c>
      <c r="I30" s="57">
        <f t="shared" ref="I30:I48" si="4">(H30/1000)/$E$54</f>
        <v>9.7999999999999993E-7</v>
      </c>
      <c r="J30" s="17">
        <f t="shared" si="1"/>
        <v>2.4464150943396224E-3</v>
      </c>
    </row>
    <row r="31" spans="1:24" x14ac:dyDescent="0.25">
      <c r="A31" t="s">
        <v>19</v>
      </c>
      <c r="B31">
        <v>0.18</v>
      </c>
      <c r="C31" s="16">
        <f t="shared" si="0"/>
        <v>1.1249999999999999E-7</v>
      </c>
      <c r="D31">
        <v>0.18</v>
      </c>
      <c r="E31" s="16">
        <f t="shared" si="2"/>
        <v>1.0909090909090908E-7</v>
      </c>
      <c r="F31">
        <v>0.18</v>
      </c>
      <c r="G31" s="57">
        <f t="shared" si="3"/>
        <v>8.9999999999999999E-8</v>
      </c>
      <c r="H31">
        <v>0</v>
      </c>
      <c r="I31" s="57">
        <f t="shared" si="4"/>
        <v>0</v>
      </c>
      <c r="J31" s="16">
        <f t="shared" si="1"/>
        <v>3.3962264150943391E-6</v>
      </c>
      <c r="L31" s="10"/>
      <c r="M31" t="s">
        <v>62</v>
      </c>
    </row>
    <row r="32" spans="1:24" x14ac:dyDescent="0.25">
      <c r="A32" t="s">
        <v>20</v>
      </c>
      <c r="B32">
        <v>0.01</v>
      </c>
      <c r="C32" s="16">
        <f t="shared" si="0"/>
        <v>6.2500000000000005E-9</v>
      </c>
      <c r="D32">
        <v>0.01</v>
      </c>
      <c r="E32" s="16">
        <f t="shared" si="2"/>
        <v>6.0606060606060608E-9</v>
      </c>
      <c r="F32">
        <v>0.01</v>
      </c>
      <c r="G32" s="57">
        <f t="shared" si="3"/>
        <v>5.0000000000000001E-9</v>
      </c>
      <c r="H32">
        <v>0.01</v>
      </c>
      <c r="I32" s="57">
        <f t="shared" si="4"/>
        <v>5.0000000000000001E-9</v>
      </c>
      <c r="J32" s="16">
        <f t="shared" si="1"/>
        <v>1.8867924528301889E-7</v>
      </c>
    </row>
    <row r="33" spans="1:10" x14ac:dyDescent="0.25">
      <c r="A33" t="s">
        <v>21</v>
      </c>
      <c r="B33">
        <v>0.01</v>
      </c>
      <c r="C33" s="16">
        <f t="shared" si="0"/>
        <v>6.2500000000000005E-9</v>
      </c>
      <c r="D33">
        <v>0.01</v>
      </c>
      <c r="E33" s="16">
        <f t="shared" si="2"/>
        <v>6.0606060606060608E-9</v>
      </c>
      <c r="F33">
        <v>0.01</v>
      </c>
      <c r="G33" s="57">
        <f t="shared" si="3"/>
        <v>5.0000000000000001E-9</v>
      </c>
      <c r="H33">
        <v>0.01</v>
      </c>
      <c r="I33" s="57">
        <f t="shared" si="4"/>
        <v>5.0000000000000001E-9</v>
      </c>
      <c r="J33" s="16">
        <f t="shared" si="1"/>
        <v>1.8867924528301889E-7</v>
      </c>
    </row>
    <row r="34" spans="1:10" x14ac:dyDescent="0.25">
      <c r="A34" t="s">
        <v>22</v>
      </c>
      <c r="B34">
        <v>0.08</v>
      </c>
      <c r="C34" s="16">
        <f t="shared" si="0"/>
        <v>5.0000000000000004E-8</v>
      </c>
      <c r="D34">
        <v>0.56000000000000005</v>
      </c>
      <c r="E34" s="16">
        <f t="shared" si="2"/>
        <v>3.3939393939393943E-7</v>
      </c>
      <c r="F34">
        <v>0.56999999999999995</v>
      </c>
      <c r="G34" s="57">
        <f t="shared" si="3"/>
        <v>2.8499999999999997E-7</v>
      </c>
      <c r="H34">
        <v>0.42</v>
      </c>
      <c r="I34" s="57">
        <f t="shared" si="4"/>
        <v>2.0999999999999997E-7</v>
      </c>
      <c r="J34" s="17">
        <f t="shared" si="1"/>
        <v>1.0754716981132076E-5</v>
      </c>
    </row>
    <row r="35" spans="1:10" x14ac:dyDescent="0.25">
      <c r="A35" t="s">
        <v>23</v>
      </c>
      <c r="B35">
        <v>0.15</v>
      </c>
      <c r="C35" s="16">
        <f t="shared" si="0"/>
        <v>9.3749999999999989E-8</v>
      </c>
      <c r="D35">
        <v>0.05</v>
      </c>
      <c r="E35" s="16">
        <f t="shared" si="2"/>
        <v>3.0303030303030305E-8</v>
      </c>
      <c r="F35">
        <v>0.08</v>
      </c>
      <c r="G35" s="57">
        <f t="shared" si="3"/>
        <v>4.0000000000000001E-8</v>
      </c>
      <c r="H35">
        <v>0.38</v>
      </c>
      <c r="I35" s="57">
        <f t="shared" si="4"/>
        <v>1.9000000000000001E-7</v>
      </c>
      <c r="J35" s="16">
        <f t="shared" si="1"/>
        <v>1.5094339622641511E-6</v>
      </c>
    </row>
    <row r="36" spans="1:10" x14ac:dyDescent="0.25">
      <c r="A36" t="s">
        <v>24</v>
      </c>
      <c r="B36">
        <v>5.22</v>
      </c>
      <c r="C36" s="16">
        <f t="shared" si="0"/>
        <v>3.2624999999999997E-6</v>
      </c>
      <c r="D36">
        <v>7.0000000000000007E-2</v>
      </c>
      <c r="E36" s="16">
        <f t="shared" si="2"/>
        <v>4.2424242424242428E-8</v>
      </c>
      <c r="F36">
        <v>6.68</v>
      </c>
      <c r="G36" s="57">
        <f t="shared" si="3"/>
        <v>3.3399999999999998E-6</v>
      </c>
      <c r="H36">
        <v>0</v>
      </c>
      <c r="I36" s="57">
        <f t="shared" si="4"/>
        <v>0</v>
      </c>
      <c r="J36" s="17">
        <f t="shared" si="1"/>
        <v>1.2603773584905659E-4</v>
      </c>
    </row>
    <row r="37" spans="1:10" x14ac:dyDescent="0.25">
      <c r="A37" t="s">
        <v>25</v>
      </c>
      <c r="B37">
        <v>5.18</v>
      </c>
      <c r="C37" s="16">
        <f t="shared" si="0"/>
        <v>3.2374999999999999E-6</v>
      </c>
      <c r="D37">
        <v>10.09</v>
      </c>
      <c r="E37" s="16">
        <f t="shared" si="2"/>
        <v>6.1151515151515155E-6</v>
      </c>
      <c r="F37">
        <v>6256.55</v>
      </c>
      <c r="G37" s="57">
        <f t="shared" si="3"/>
        <v>3.1282749999999998E-3</v>
      </c>
      <c r="H37">
        <v>1.36</v>
      </c>
      <c r="I37" s="57">
        <f t="shared" si="4"/>
        <v>6.8000000000000005E-7</v>
      </c>
      <c r="J37" s="16">
        <f t="shared" si="1"/>
        <v>0.11804811320754717</v>
      </c>
    </row>
    <row r="38" spans="1:10" x14ac:dyDescent="0.25">
      <c r="A38" t="s">
        <v>26</v>
      </c>
      <c r="B38">
        <v>43.38</v>
      </c>
      <c r="C38" s="16">
        <f t="shared" si="0"/>
        <v>2.7112500000000002E-5</v>
      </c>
      <c r="D38">
        <v>205.68</v>
      </c>
      <c r="E38" s="16">
        <f t="shared" si="2"/>
        <v>1.2465454545454547E-4</v>
      </c>
      <c r="F38">
        <v>531.88</v>
      </c>
      <c r="G38" s="57">
        <f t="shared" si="3"/>
        <v>2.6593999999999999E-4</v>
      </c>
      <c r="H38">
        <v>27.6</v>
      </c>
      <c r="I38" s="57">
        <f t="shared" si="4"/>
        <v>1.3800000000000002E-5</v>
      </c>
      <c r="J38" s="17">
        <f t="shared" si="1"/>
        <v>1.0035471698113209E-2</v>
      </c>
    </row>
    <row r="39" spans="1:10" x14ac:dyDescent="0.25">
      <c r="A39" t="s">
        <v>27</v>
      </c>
      <c r="B39">
        <v>63.39</v>
      </c>
      <c r="C39" s="16">
        <f t="shared" si="0"/>
        <v>3.9618750000000004E-5</v>
      </c>
      <c r="D39">
        <v>81.42</v>
      </c>
      <c r="E39" s="16">
        <f t="shared" si="2"/>
        <v>4.9345454545454549E-5</v>
      </c>
      <c r="F39">
        <v>109.14</v>
      </c>
      <c r="G39" s="57">
        <f t="shared" si="3"/>
        <v>5.4570000000000001E-5</v>
      </c>
      <c r="H39">
        <v>89.81</v>
      </c>
      <c r="I39" s="57">
        <f t="shared" si="4"/>
        <v>4.4904999999999998E-5</v>
      </c>
      <c r="J39" s="16">
        <f t="shared" si="1"/>
        <v>2.0592452830188678E-3</v>
      </c>
    </row>
    <row r="40" spans="1:10" x14ac:dyDescent="0.25">
      <c r="A40" t="s">
        <v>28</v>
      </c>
      <c r="B40">
        <v>1.22</v>
      </c>
      <c r="C40" s="16">
        <f t="shared" si="0"/>
        <v>7.6250000000000001E-7</v>
      </c>
      <c r="D40">
        <v>1.54</v>
      </c>
      <c r="E40" s="16">
        <f t="shared" si="2"/>
        <v>9.3333333333333343E-7</v>
      </c>
      <c r="F40">
        <v>1.81</v>
      </c>
      <c r="G40" s="57">
        <f t="shared" si="3"/>
        <v>9.0500000000000002E-7</v>
      </c>
      <c r="H40">
        <v>1.24</v>
      </c>
      <c r="I40" s="57">
        <f t="shared" si="4"/>
        <v>6.1999999999999999E-7</v>
      </c>
      <c r="J40" s="16">
        <f t="shared" si="1"/>
        <v>3.4150943396226417E-5</v>
      </c>
    </row>
    <row r="41" spans="1:10" x14ac:dyDescent="0.25">
      <c r="A41" t="s">
        <v>29</v>
      </c>
      <c r="B41">
        <v>5.48</v>
      </c>
      <c r="C41" s="16">
        <f t="shared" si="0"/>
        <v>3.4250000000000002E-6</v>
      </c>
      <c r="D41">
        <v>8.08</v>
      </c>
      <c r="E41" s="16">
        <f t="shared" si="2"/>
        <v>4.8969696969696969E-6</v>
      </c>
      <c r="F41">
        <v>5.51</v>
      </c>
      <c r="G41" s="57">
        <f t="shared" si="3"/>
        <v>2.7549999999999999E-6</v>
      </c>
      <c r="H41">
        <v>7.85</v>
      </c>
      <c r="I41" s="57">
        <f t="shared" si="4"/>
        <v>3.9249999999999997E-6</v>
      </c>
      <c r="J41" s="16">
        <f t="shared" si="1"/>
        <v>1.0396226415094339E-4</v>
      </c>
    </row>
    <row r="42" spans="1:10" x14ac:dyDescent="0.25">
      <c r="A42" t="s">
        <v>30</v>
      </c>
      <c r="B42">
        <v>0.81</v>
      </c>
      <c r="C42" s="16">
        <f t="shared" si="0"/>
        <v>5.0625000000000002E-7</v>
      </c>
      <c r="D42">
        <v>5.55</v>
      </c>
      <c r="E42" s="16">
        <f t="shared" si="2"/>
        <v>3.3636363636363637E-6</v>
      </c>
      <c r="F42">
        <v>4.01</v>
      </c>
      <c r="G42" s="57">
        <f t="shared" si="3"/>
        <v>2.0049999999999999E-6</v>
      </c>
      <c r="H42">
        <v>2.4700000000000002</v>
      </c>
      <c r="I42" s="57">
        <f t="shared" si="4"/>
        <v>1.2350000000000002E-6</v>
      </c>
      <c r="J42" s="17">
        <f t="shared" si="1"/>
        <v>7.5660377358490556E-5</v>
      </c>
    </row>
    <row r="43" spans="1:10" x14ac:dyDescent="0.25">
      <c r="A43" t="s">
        <v>31</v>
      </c>
      <c r="B43">
        <v>0.01</v>
      </c>
      <c r="C43" s="16">
        <f t="shared" si="0"/>
        <v>6.2500000000000005E-9</v>
      </c>
      <c r="D43">
        <v>0.01</v>
      </c>
      <c r="E43" s="16">
        <f t="shared" si="2"/>
        <v>6.0606060606060608E-9</v>
      </c>
      <c r="F43">
        <v>0.01</v>
      </c>
      <c r="G43" s="57">
        <f t="shared" si="3"/>
        <v>5.0000000000000001E-9</v>
      </c>
      <c r="H43">
        <v>0.01</v>
      </c>
      <c r="I43" s="57">
        <f t="shared" si="4"/>
        <v>5.0000000000000001E-9</v>
      </c>
      <c r="J43" s="16">
        <f t="shared" si="1"/>
        <v>1.8867924528301889E-7</v>
      </c>
    </row>
    <row r="44" spans="1:10" x14ac:dyDescent="0.25">
      <c r="A44" t="s">
        <v>32</v>
      </c>
      <c r="B44">
        <v>0.43</v>
      </c>
      <c r="C44" s="16">
        <f t="shared" si="0"/>
        <v>2.6874999999999997E-7</v>
      </c>
      <c r="D44">
        <v>0.43</v>
      </c>
      <c r="E44" s="16">
        <f t="shared" si="2"/>
        <v>2.606060606060606E-7</v>
      </c>
      <c r="F44">
        <v>1.4</v>
      </c>
      <c r="G44" s="57">
        <f t="shared" si="3"/>
        <v>6.9999999999999997E-7</v>
      </c>
      <c r="H44">
        <v>0.73</v>
      </c>
      <c r="I44" s="57">
        <f t="shared" si="4"/>
        <v>3.65E-7</v>
      </c>
      <c r="J44" s="17">
        <f t="shared" si="1"/>
        <v>2.6415094339622642E-5</v>
      </c>
    </row>
    <row r="45" spans="1:10" x14ac:dyDescent="0.25">
      <c r="A45" t="s">
        <v>33</v>
      </c>
      <c r="B45">
        <v>5.83</v>
      </c>
      <c r="C45" s="16">
        <f t="shared" si="0"/>
        <v>3.6437500000000001E-6</v>
      </c>
      <c r="D45">
        <v>10.93</v>
      </c>
      <c r="E45" s="16">
        <f t="shared" si="2"/>
        <v>6.6242424242424248E-6</v>
      </c>
      <c r="F45">
        <v>10.83</v>
      </c>
      <c r="G45" s="57">
        <f t="shared" si="3"/>
        <v>5.4149999999999998E-6</v>
      </c>
      <c r="H45">
        <v>6.99</v>
      </c>
      <c r="I45" s="57">
        <f t="shared" si="4"/>
        <v>3.4950000000000004E-6</v>
      </c>
      <c r="J45" s="16">
        <f t="shared" si="1"/>
        <v>2.0433962264150942E-4</v>
      </c>
    </row>
    <row r="46" spans="1:10" x14ac:dyDescent="0.25">
      <c r="A46" t="s">
        <v>34</v>
      </c>
      <c r="B46">
        <v>0.01</v>
      </c>
      <c r="C46" s="16">
        <f t="shared" si="0"/>
        <v>6.2500000000000005E-9</v>
      </c>
      <c r="D46">
        <v>0.01</v>
      </c>
      <c r="E46" s="16">
        <f t="shared" si="2"/>
        <v>6.0606060606060608E-9</v>
      </c>
      <c r="F46">
        <v>19.86</v>
      </c>
      <c r="G46" s="57">
        <f t="shared" si="3"/>
        <v>9.9299999999999998E-6</v>
      </c>
      <c r="H46">
        <v>0</v>
      </c>
      <c r="I46" s="57">
        <f t="shared" si="4"/>
        <v>0</v>
      </c>
      <c r="J46" s="17">
        <f t="shared" si="1"/>
        <v>3.7471698113207547E-4</v>
      </c>
    </row>
    <row r="47" spans="1:10" x14ac:dyDescent="0.25">
      <c r="A47" t="s">
        <v>35</v>
      </c>
      <c r="B47">
        <v>0.16</v>
      </c>
      <c r="C47" s="16">
        <f t="shared" si="0"/>
        <v>1.0000000000000001E-7</v>
      </c>
      <c r="D47">
        <v>0.16</v>
      </c>
      <c r="E47" s="16">
        <f t="shared" si="2"/>
        <v>9.6969696969696973E-8</v>
      </c>
      <c r="F47">
        <v>0.16</v>
      </c>
      <c r="G47" s="57">
        <f t="shared" si="3"/>
        <v>8.0000000000000002E-8</v>
      </c>
      <c r="H47">
        <v>0</v>
      </c>
      <c r="I47" s="57">
        <f t="shared" si="4"/>
        <v>0</v>
      </c>
      <c r="J47" s="16">
        <f t="shared" si="1"/>
        <v>3.0188679245283022E-6</v>
      </c>
    </row>
    <row r="48" spans="1:10" x14ac:dyDescent="0.25">
      <c r="A48" t="s">
        <v>36</v>
      </c>
      <c r="B48">
        <v>0.22</v>
      </c>
      <c r="C48" s="16">
        <f t="shared" si="0"/>
        <v>1.3750000000000001E-7</v>
      </c>
      <c r="D48">
        <v>0.23</v>
      </c>
      <c r="E48" s="16">
        <f t="shared" si="2"/>
        <v>1.3939393939393941E-7</v>
      </c>
      <c r="F48">
        <v>0.23</v>
      </c>
      <c r="G48" s="57">
        <f t="shared" si="3"/>
        <v>1.15E-7</v>
      </c>
      <c r="H48">
        <v>0.02</v>
      </c>
      <c r="I48" s="57">
        <f t="shared" si="4"/>
        <v>1E-8</v>
      </c>
      <c r="J48" s="16">
        <f t="shared" si="1"/>
        <v>4.3396226415094338E-6</v>
      </c>
    </row>
    <row r="51" spans="1:14" x14ac:dyDescent="0.25">
      <c r="D51" t="s">
        <v>38</v>
      </c>
    </row>
    <row r="52" spans="1:14" x14ac:dyDescent="0.25">
      <c r="C52" t="s">
        <v>37</v>
      </c>
      <c r="D52" t="s">
        <v>39</v>
      </c>
      <c r="E52">
        <v>1600</v>
      </c>
      <c r="F52" t="s">
        <v>47</v>
      </c>
    </row>
    <row r="53" spans="1:14" x14ac:dyDescent="0.25">
      <c r="C53" t="s">
        <v>40</v>
      </c>
      <c r="D53" t="s">
        <v>41</v>
      </c>
      <c r="E53">
        <v>1650</v>
      </c>
      <c r="F53" t="s">
        <v>48</v>
      </c>
    </row>
    <row r="54" spans="1:14" x14ac:dyDescent="0.25">
      <c r="C54" t="s">
        <v>42</v>
      </c>
      <c r="D54" t="s">
        <v>43</v>
      </c>
      <c r="E54">
        <v>2000</v>
      </c>
      <c r="F54" t="s">
        <v>55</v>
      </c>
    </row>
    <row r="55" spans="1:14" x14ac:dyDescent="0.25">
      <c r="C55" t="s">
        <v>44</v>
      </c>
      <c r="D55" t="s">
        <v>45</v>
      </c>
      <c r="E55">
        <v>2000</v>
      </c>
      <c r="F55" t="s">
        <v>54</v>
      </c>
    </row>
    <row r="58" spans="1:14" x14ac:dyDescent="0.25">
      <c r="A58" s="4" t="s">
        <v>57</v>
      </c>
      <c r="B58" s="4"/>
      <c r="C58" s="4"/>
      <c r="D58" s="4"/>
      <c r="E58" s="4"/>
      <c r="F58" s="4"/>
      <c r="G58" s="4"/>
      <c r="H58" s="4"/>
      <c r="I58" s="4"/>
      <c r="J58" s="4"/>
      <c r="K58" s="4"/>
      <c r="L58" s="4"/>
      <c r="M58" s="4"/>
      <c r="N58" s="4"/>
    </row>
    <row r="59" spans="1:14" x14ac:dyDescent="0.25">
      <c r="A59" s="11" t="s">
        <v>58</v>
      </c>
      <c r="B59" s="4"/>
      <c r="C59" s="4"/>
      <c r="D59" s="4"/>
      <c r="E59" s="4"/>
      <c r="F59" s="4"/>
      <c r="G59" s="4"/>
      <c r="H59" s="4"/>
      <c r="I59" s="4"/>
      <c r="J59" s="4"/>
      <c r="K59" s="4"/>
      <c r="L59" s="4"/>
      <c r="M59" s="4"/>
      <c r="N59" s="4"/>
    </row>
    <row r="60" spans="1:14" x14ac:dyDescent="0.25">
      <c r="A60" s="18" t="s">
        <v>63</v>
      </c>
    </row>
    <row r="61" spans="1:14" x14ac:dyDescent="0.25">
      <c r="A61" t="s">
        <v>64</v>
      </c>
      <c r="E61" t="s">
        <v>65</v>
      </c>
    </row>
    <row r="62" spans="1:14" x14ac:dyDescent="0.25">
      <c r="E62" t="s">
        <v>66</v>
      </c>
    </row>
    <row r="64" spans="1:14" x14ac:dyDescent="0.25">
      <c r="A64" t="s">
        <v>16</v>
      </c>
      <c r="B64" t="s">
        <v>68</v>
      </c>
      <c r="C64" s="15" t="s">
        <v>69</v>
      </c>
      <c r="D64" t="s">
        <v>70</v>
      </c>
      <c r="E64" s="15" t="s">
        <v>71</v>
      </c>
      <c r="F64" s="15" t="s">
        <v>464</v>
      </c>
    </row>
    <row r="65" spans="1:14" x14ac:dyDescent="0.25">
      <c r="A65" t="s">
        <v>17</v>
      </c>
      <c r="B65" s="19">
        <v>0.18</v>
      </c>
      <c r="C65" s="16">
        <f>B65*$B$77/$E$53</f>
        <v>4.9090909090909091E-5</v>
      </c>
      <c r="D65" s="19">
        <v>7.8E-2</v>
      </c>
      <c r="E65" s="16">
        <f>$D$77*D65/$E$55</f>
        <v>4.0949999999999999E-5</v>
      </c>
      <c r="F65" s="16">
        <f t="shared" ref="F65:F76" si="5">$D$77*D65/$G$245</f>
        <v>1.5452830188679245E-3</v>
      </c>
    </row>
    <row r="66" spans="1:14" x14ac:dyDescent="0.25">
      <c r="A66" t="s">
        <v>18</v>
      </c>
      <c r="B66" s="19">
        <v>6.0999999999999999E-2</v>
      </c>
      <c r="C66" s="16">
        <f t="shared" ref="C66:C76" si="6">B66*$B$77/$E$53</f>
        <v>1.6636363636363637E-5</v>
      </c>
      <c r="D66" s="19">
        <v>0.15</v>
      </c>
      <c r="E66" s="16">
        <f t="shared" ref="E66:E76" si="7">$D$77*D66/$E$55</f>
        <v>7.8750000000000003E-5</v>
      </c>
      <c r="F66" s="16">
        <f t="shared" si="5"/>
        <v>2.9716981132075471E-3</v>
      </c>
    </row>
    <row r="67" spans="1:14" x14ac:dyDescent="0.25">
      <c r="A67" t="s">
        <v>20</v>
      </c>
      <c r="B67" s="19">
        <v>1E-3</v>
      </c>
      <c r="C67" s="16">
        <f t="shared" si="6"/>
        <v>2.7272727272727274E-7</v>
      </c>
      <c r="D67" s="19">
        <v>4.4000000000000002E-4</v>
      </c>
      <c r="E67" s="16">
        <f t="shared" si="7"/>
        <v>2.3100000000000004E-7</v>
      </c>
      <c r="F67" s="16">
        <f t="shared" si="5"/>
        <v>8.7169811320754735E-6</v>
      </c>
    </row>
    <row r="68" spans="1:14" x14ac:dyDescent="0.25">
      <c r="A68" t="s">
        <v>21</v>
      </c>
      <c r="B68" s="19">
        <v>7.9000000000000001E-4</v>
      </c>
      <c r="C68" s="16">
        <f t="shared" si="6"/>
        <v>2.1545454545454547E-7</v>
      </c>
      <c r="D68" s="19">
        <v>3.3E-4</v>
      </c>
      <c r="E68" s="16">
        <f t="shared" si="7"/>
        <v>1.7325000000000002E-7</v>
      </c>
      <c r="F68" s="16">
        <f t="shared" si="5"/>
        <v>6.5377358490566038E-6</v>
      </c>
    </row>
    <row r="69" spans="1:14" x14ac:dyDescent="0.25">
      <c r="A69" t="s">
        <v>24</v>
      </c>
      <c r="B69" s="19">
        <v>1.7999999999999999E-2</v>
      </c>
      <c r="C69" s="16">
        <f t="shared" si="6"/>
        <v>4.9090909090909088E-6</v>
      </c>
      <c r="D69" s="19">
        <v>7.7000000000000002E-3</v>
      </c>
      <c r="E69" s="16">
        <f t="shared" si="7"/>
        <v>4.0424999999999998E-6</v>
      </c>
      <c r="F69" s="16">
        <f t="shared" si="5"/>
        <v>1.5254716981132077E-4</v>
      </c>
    </row>
    <row r="70" spans="1:14" x14ac:dyDescent="0.25">
      <c r="A70" t="s">
        <v>26</v>
      </c>
      <c r="B70" s="19">
        <v>0.66</v>
      </c>
      <c r="C70" s="16">
        <f t="shared" si="6"/>
        <v>1.8000000000000004E-4</v>
      </c>
      <c r="D70" s="19">
        <v>0.73</v>
      </c>
      <c r="E70" s="16">
        <f t="shared" si="7"/>
        <v>3.8324999999999996E-4</v>
      </c>
      <c r="F70" s="16">
        <f t="shared" si="5"/>
        <v>1.4462264150943396E-2</v>
      </c>
    </row>
    <row r="71" spans="1:14" x14ac:dyDescent="0.25">
      <c r="A71" t="s">
        <v>30</v>
      </c>
      <c r="B71" s="19">
        <v>6.8000000000000005E-2</v>
      </c>
      <c r="C71" s="16">
        <f t="shared" si="6"/>
        <v>1.8545454545454545E-5</v>
      </c>
      <c r="D71" s="19">
        <v>2.9000000000000001E-2</v>
      </c>
      <c r="E71" s="16">
        <f t="shared" si="7"/>
        <v>1.5225000000000001E-5</v>
      </c>
      <c r="F71" s="16">
        <f t="shared" si="5"/>
        <v>5.7452830188679251E-4</v>
      </c>
    </row>
    <row r="72" spans="1:14" x14ac:dyDescent="0.25">
      <c r="A72" t="s">
        <v>32</v>
      </c>
      <c r="B72" s="19">
        <v>7.1999999999999998E-3</v>
      </c>
      <c r="C72" s="16">
        <f t="shared" si="6"/>
        <v>1.9636363636363636E-6</v>
      </c>
      <c r="D72" s="19">
        <v>3.0999999999999999E-3</v>
      </c>
      <c r="E72" s="16">
        <f t="shared" si="7"/>
        <v>1.6275000000000001E-6</v>
      </c>
      <c r="F72" s="16">
        <f t="shared" si="5"/>
        <v>6.1415094339622642E-5</v>
      </c>
    </row>
    <row r="73" spans="1:14" x14ac:dyDescent="0.25">
      <c r="A73" t="s">
        <v>67</v>
      </c>
      <c r="B73" s="19">
        <v>2.5000000000000001E-3</v>
      </c>
      <c r="C73" s="16">
        <f t="shared" si="6"/>
        <v>6.8181818181818191E-7</v>
      </c>
      <c r="D73" s="19">
        <v>1E-3</v>
      </c>
      <c r="E73" s="16">
        <f t="shared" si="7"/>
        <v>5.2500000000000006E-7</v>
      </c>
      <c r="F73" s="16">
        <f t="shared" si="5"/>
        <v>1.9811320754716984E-5</v>
      </c>
    </row>
    <row r="74" spans="1:14" x14ac:dyDescent="0.25">
      <c r="A74" t="s">
        <v>34</v>
      </c>
      <c r="B74" s="13">
        <v>2.3E-6</v>
      </c>
      <c r="C74" s="16">
        <f t="shared" si="6"/>
        <v>6.2727272727272732E-10</v>
      </c>
      <c r="D74" s="13">
        <v>9.7999999999999993E-7</v>
      </c>
      <c r="E74" s="16">
        <f t="shared" si="7"/>
        <v>5.1450000000000003E-10</v>
      </c>
      <c r="F74" s="16">
        <f t="shared" si="5"/>
        <v>1.941509433962264E-8</v>
      </c>
    </row>
    <row r="75" spans="1:14" x14ac:dyDescent="0.25">
      <c r="A75" t="s">
        <v>35</v>
      </c>
      <c r="B75" s="13">
        <v>3.8E-6</v>
      </c>
      <c r="C75" s="16">
        <f t="shared" si="6"/>
        <v>1.0363636363636365E-9</v>
      </c>
      <c r="D75" s="13">
        <v>1.5999999999999999E-6</v>
      </c>
      <c r="E75" s="16">
        <f t="shared" si="7"/>
        <v>8.3999999999999999E-10</v>
      </c>
      <c r="F75" s="16">
        <f t="shared" si="5"/>
        <v>3.1698113207547169E-8</v>
      </c>
    </row>
    <row r="76" spans="1:14" x14ac:dyDescent="0.25">
      <c r="A76" t="s">
        <v>36</v>
      </c>
      <c r="B76" s="19">
        <v>1.2999999999999999E-3</v>
      </c>
      <c r="C76" s="16">
        <f t="shared" si="6"/>
        <v>3.5454545454545458E-7</v>
      </c>
      <c r="D76" s="19">
        <v>5.6999999999999998E-4</v>
      </c>
      <c r="E76" s="16">
        <f t="shared" si="7"/>
        <v>2.9924999999999998E-7</v>
      </c>
      <c r="F76" s="16">
        <f t="shared" si="5"/>
        <v>1.1292452830188678E-5</v>
      </c>
    </row>
    <row r="77" spans="1:14" x14ac:dyDescent="0.25">
      <c r="A77" t="s">
        <v>72</v>
      </c>
      <c r="B77" s="20">
        <v>0.45</v>
      </c>
      <c r="C77" s="13"/>
      <c r="D77">
        <v>1.05</v>
      </c>
    </row>
    <row r="79" spans="1:14" x14ac:dyDescent="0.25">
      <c r="A79" s="4" t="s">
        <v>73</v>
      </c>
      <c r="B79" s="4"/>
      <c r="C79" s="4"/>
      <c r="D79" s="4"/>
      <c r="E79" s="4"/>
      <c r="F79" s="4"/>
      <c r="G79" s="4"/>
      <c r="H79" s="4"/>
      <c r="I79" s="4"/>
      <c r="J79" s="4"/>
      <c r="K79" s="4"/>
      <c r="L79" s="4"/>
      <c r="M79" s="4"/>
      <c r="N79" s="4"/>
    </row>
    <row r="80" spans="1:14" x14ac:dyDescent="0.25">
      <c r="A80" s="11" t="s">
        <v>74</v>
      </c>
      <c r="B80" s="4"/>
      <c r="C80" s="4"/>
      <c r="D80" s="4"/>
      <c r="E80" s="4"/>
      <c r="F80" s="4"/>
      <c r="G80" s="4"/>
      <c r="H80" s="4"/>
      <c r="I80" s="4"/>
      <c r="J80" s="4"/>
      <c r="K80" s="4"/>
      <c r="L80" s="4"/>
      <c r="M80" s="4"/>
      <c r="N80" s="4"/>
    </row>
    <row r="81" spans="1:42" x14ac:dyDescent="0.25">
      <c r="A81" s="18" t="s">
        <v>75</v>
      </c>
    </row>
    <row r="82" spans="1:42" x14ac:dyDescent="0.25">
      <c r="A82" t="s">
        <v>124</v>
      </c>
      <c r="E82" t="s">
        <v>197</v>
      </c>
    </row>
    <row r="84" spans="1:42" x14ac:dyDescent="0.25">
      <c r="A84" s="26" t="s">
        <v>192</v>
      </c>
    </row>
    <row r="85" spans="1:42" ht="60" x14ac:dyDescent="0.25">
      <c r="A85" s="22" t="s">
        <v>76</v>
      </c>
      <c r="B85" s="22" t="s">
        <v>77</v>
      </c>
      <c r="C85" s="22" t="s">
        <v>122</v>
      </c>
      <c r="D85" s="22" t="s">
        <v>78</v>
      </c>
      <c r="E85" s="22" t="s">
        <v>79</v>
      </c>
      <c r="F85" s="22" t="s">
        <v>80</v>
      </c>
      <c r="G85" s="22" t="s">
        <v>81</v>
      </c>
      <c r="H85" s="22" t="s">
        <v>82</v>
      </c>
      <c r="I85" s="22" t="s">
        <v>83</v>
      </c>
      <c r="J85" s="22" t="s">
        <v>84</v>
      </c>
      <c r="K85" s="22" t="s">
        <v>85</v>
      </c>
      <c r="L85" s="22" t="s">
        <v>86</v>
      </c>
      <c r="M85" s="22" t="s">
        <v>87</v>
      </c>
      <c r="N85" s="22" t="s">
        <v>88</v>
      </c>
      <c r="O85" s="22" t="s">
        <v>89</v>
      </c>
      <c r="P85" s="22" t="s">
        <v>90</v>
      </c>
      <c r="Q85" s="22" t="s">
        <v>123</v>
      </c>
      <c r="R85" s="22" t="s">
        <v>149</v>
      </c>
      <c r="U85" s="21" t="s">
        <v>125</v>
      </c>
      <c r="V85" t="s">
        <v>144</v>
      </c>
      <c r="W85" t="s">
        <v>145</v>
      </c>
      <c r="X85" t="s">
        <v>146</v>
      </c>
      <c r="Y85" t="s">
        <v>147</v>
      </c>
      <c r="Z85" t="s">
        <v>148</v>
      </c>
      <c r="AC85" t="s">
        <v>176</v>
      </c>
      <c r="AD85" s="23" t="s">
        <v>177</v>
      </c>
      <c r="AE85" s="8" t="s">
        <v>178</v>
      </c>
      <c r="AF85" t="s">
        <v>179</v>
      </c>
      <c r="AG85" s="8" t="s">
        <v>180</v>
      </c>
      <c r="AH85" s="8" t="s">
        <v>181</v>
      </c>
      <c r="AI85" t="s">
        <v>182</v>
      </c>
      <c r="AJ85" t="s">
        <v>183</v>
      </c>
      <c r="AK85" s="24" t="s">
        <v>185</v>
      </c>
      <c r="AL85" s="15" t="s">
        <v>186</v>
      </c>
      <c r="AM85" s="15" t="s">
        <v>187</v>
      </c>
      <c r="AN85" s="15" t="s">
        <v>188</v>
      </c>
      <c r="AO85" s="15" t="s">
        <v>189</v>
      </c>
      <c r="AP85" s="15" t="s">
        <v>190</v>
      </c>
    </row>
    <row r="86" spans="1:42" x14ac:dyDescent="0.25">
      <c r="A86" s="22" t="s">
        <v>91</v>
      </c>
      <c r="B86" s="21">
        <v>134</v>
      </c>
      <c r="C86" s="21">
        <v>20.9</v>
      </c>
      <c r="D86" s="21">
        <v>239</v>
      </c>
      <c r="E86" s="21">
        <v>165</v>
      </c>
      <c r="F86" s="21">
        <v>4270</v>
      </c>
      <c r="G86" s="21">
        <v>60.1</v>
      </c>
      <c r="H86" s="21">
        <v>902</v>
      </c>
      <c r="I86" s="21">
        <v>0.1</v>
      </c>
      <c r="J86" s="21">
        <v>7.5</v>
      </c>
      <c r="K86" s="21">
        <v>582</v>
      </c>
      <c r="L86" s="21">
        <v>0.2</v>
      </c>
      <c r="M86" s="21">
        <v>1</v>
      </c>
      <c r="N86" s="21">
        <v>412</v>
      </c>
      <c r="O86" s="21">
        <v>5.9</v>
      </c>
      <c r="P86" s="21">
        <v>3980</v>
      </c>
      <c r="Q86" s="21">
        <v>6630</v>
      </c>
      <c r="R86" s="21">
        <v>508</v>
      </c>
      <c r="U86" t="s">
        <v>126</v>
      </c>
      <c r="V86">
        <v>1</v>
      </c>
      <c r="W86">
        <v>0</v>
      </c>
      <c r="X86">
        <v>1</v>
      </c>
      <c r="Y86">
        <v>1</v>
      </c>
      <c r="Z86">
        <v>0</v>
      </c>
      <c r="AC86">
        <v>40898</v>
      </c>
      <c r="AD86" s="15" t="s">
        <v>77</v>
      </c>
      <c r="AE86" t="s">
        <v>134</v>
      </c>
      <c r="AF86">
        <v>22.47</v>
      </c>
      <c r="AG86" t="s">
        <v>134</v>
      </c>
      <c r="AH86">
        <v>1</v>
      </c>
      <c r="AI86" t="s">
        <v>158</v>
      </c>
      <c r="AJ86" t="s">
        <v>153</v>
      </c>
      <c r="AK86" s="24">
        <f t="shared" ref="AK86:AK117" si="8">AH86*AF86</f>
        <v>22.47</v>
      </c>
      <c r="AL86" s="15">
        <f t="shared" ref="AL86:AP87" si="9">$AK86*V$94</f>
        <v>89.88</v>
      </c>
      <c r="AM86" s="15">
        <f t="shared" si="9"/>
        <v>0</v>
      </c>
      <c r="AN86" s="15">
        <f t="shared" si="9"/>
        <v>89.88</v>
      </c>
      <c r="AO86" s="15">
        <f t="shared" si="9"/>
        <v>89.88</v>
      </c>
      <c r="AP86" s="15">
        <f t="shared" si="9"/>
        <v>0</v>
      </c>
    </row>
    <row r="87" spans="1:42" x14ac:dyDescent="0.25">
      <c r="A87" s="22" t="s">
        <v>92</v>
      </c>
      <c r="B87" s="21">
        <v>0.1</v>
      </c>
      <c r="C87" s="21">
        <v>1.7</v>
      </c>
      <c r="D87" s="21">
        <v>0.1</v>
      </c>
      <c r="E87" s="21">
        <v>1.4</v>
      </c>
      <c r="F87" s="21">
        <v>108</v>
      </c>
      <c r="G87" s="21">
        <v>0.6</v>
      </c>
      <c r="H87" s="21">
        <v>57.2</v>
      </c>
      <c r="I87" s="21">
        <v>0.1</v>
      </c>
      <c r="J87" s="21">
        <v>22.4</v>
      </c>
      <c r="K87" s="21">
        <v>764</v>
      </c>
      <c r="L87" s="21">
        <v>0.1</v>
      </c>
      <c r="M87" s="21">
        <v>2.1</v>
      </c>
      <c r="N87" s="21">
        <v>121</v>
      </c>
      <c r="O87" s="21">
        <v>33</v>
      </c>
      <c r="P87" s="21">
        <v>61.1</v>
      </c>
      <c r="Q87" s="21">
        <v>0.1</v>
      </c>
      <c r="R87" s="21">
        <v>1230</v>
      </c>
      <c r="U87" t="s">
        <v>127</v>
      </c>
      <c r="V87">
        <v>4</v>
      </c>
      <c r="W87">
        <v>0</v>
      </c>
      <c r="X87">
        <v>4</v>
      </c>
      <c r="Y87">
        <v>2</v>
      </c>
      <c r="Z87">
        <v>0</v>
      </c>
      <c r="AC87">
        <v>40901</v>
      </c>
      <c r="AD87" s="15" t="s">
        <v>122</v>
      </c>
      <c r="AE87" t="s">
        <v>134</v>
      </c>
      <c r="AF87">
        <v>53.64</v>
      </c>
      <c r="AG87" t="s">
        <v>134</v>
      </c>
      <c r="AH87">
        <v>1</v>
      </c>
      <c r="AI87" t="s">
        <v>158</v>
      </c>
      <c r="AJ87" t="s">
        <v>153</v>
      </c>
      <c r="AK87" s="24">
        <f t="shared" si="8"/>
        <v>53.64</v>
      </c>
      <c r="AL87" s="15">
        <f t="shared" si="9"/>
        <v>214.56</v>
      </c>
      <c r="AM87" s="15">
        <f t="shared" si="9"/>
        <v>0</v>
      </c>
      <c r="AN87" s="15">
        <f t="shared" si="9"/>
        <v>214.56</v>
      </c>
      <c r="AO87" s="15">
        <f t="shared" si="9"/>
        <v>214.56</v>
      </c>
      <c r="AP87" s="15">
        <f t="shared" si="9"/>
        <v>0</v>
      </c>
    </row>
    <row r="88" spans="1:42" x14ac:dyDescent="0.25">
      <c r="A88" s="22" t="s">
        <v>93</v>
      </c>
      <c r="B88" s="21">
        <v>0.5</v>
      </c>
      <c r="C88" s="21">
        <v>0.5</v>
      </c>
      <c r="D88" s="21">
        <v>0.5</v>
      </c>
      <c r="E88" s="21">
        <v>0.5</v>
      </c>
      <c r="F88" s="21">
        <v>0.5</v>
      </c>
      <c r="G88" s="21">
        <v>0.5</v>
      </c>
      <c r="H88" s="21">
        <v>4.7</v>
      </c>
      <c r="I88" s="21">
        <v>0.5</v>
      </c>
      <c r="J88" s="21">
        <v>0.5</v>
      </c>
      <c r="K88" s="21">
        <v>0.5</v>
      </c>
      <c r="L88" s="21">
        <v>0.5</v>
      </c>
      <c r="M88" s="21">
        <v>0.5</v>
      </c>
      <c r="N88" s="21">
        <v>0.5</v>
      </c>
      <c r="O88" s="21">
        <v>0.5</v>
      </c>
      <c r="P88" s="21">
        <v>0.5</v>
      </c>
      <c r="Q88" s="21">
        <v>0.5</v>
      </c>
      <c r="R88" s="21">
        <v>0.5</v>
      </c>
      <c r="U88" t="s">
        <v>128</v>
      </c>
      <c r="V88">
        <v>2</v>
      </c>
      <c r="W88">
        <v>0</v>
      </c>
      <c r="X88">
        <v>1</v>
      </c>
      <c r="Y88">
        <v>2</v>
      </c>
      <c r="Z88">
        <v>0</v>
      </c>
      <c r="AC88">
        <v>39064</v>
      </c>
      <c r="AD88" s="15" t="s">
        <v>157</v>
      </c>
      <c r="AE88" t="s">
        <v>156</v>
      </c>
      <c r="AF88">
        <v>6.29</v>
      </c>
      <c r="AG88" t="s">
        <v>126</v>
      </c>
      <c r="AH88">
        <v>1</v>
      </c>
      <c r="AI88" t="s">
        <v>152</v>
      </c>
      <c r="AJ88" t="s">
        <v>153</v>
      </c>
      <c r="AK88" s="24">
        <f t="shared" si="8"/>
        <v>6.29</v>
      </c>
      <c r="AL88" s="15">
        <f>$AK88*V$86</f>
        <v>6.29</v>
      </c>
      <c r="AM88" s="15">
        <f>$AK88*W$86</f>
        <v>0</v>
      </c>
      <c r="AN88" s="15">
        <f>$AK88*X$86</f>
        <v>6.29</v>
      </c>
      <c r="AO88" s="15">
        <f>$AK88*Y$86</f>
        <v>6.29</v>
      </c>
      <c r="AP88" s="15">
        <f>$AK88*Z$86</f>
        <v>0</v>
      </c>
    </row>
    <row r="89" spans="1:42" x14ac:dyDescent="0.25">
      <c r="A89" s="22" t="s">
        <v>94</v>
      </c>
      <c r="B89" s="21">
        <v>0.5</v>
      </c>
      <c r="C89" s="21">
        <v>7.9</v>
      </c>
      <c r="D89" s="21">
        <v>2.2999999999999998</v>
      </c>
      <c r="E89" s="21">
        <v>4.5</v>
      </c>
      <c r="F89" s="21">
        <v>19</v>
      </c>
      <c r="G89" s="21">
        <v>6.2</v>
      </c>
      <c r="H89" s="21">
        <v>2.6</v>
      </c>
      <c r="I89" s="21">
        <v>0.5</v>
      </c>
      <c r="J89" s="21">
        <v>4.2</v>
      </c>
      <c r="K89" s="21">
        <v>12.2</v>
      </c>
      <c r="L89" s="21">
        <v>1.4</v>
      </c>
      <c r="M89" s="21">
        <v>11.8</v>
      </c>
      <c r="N89" s="21">
        <v>13.6</v>
      </c>
      <c r="O89" s="21">
        <v>20.399999999999999</v>
      </c>
      <c r="P89" s="21">
        <v>13.9</v>
      </c>
      <c r="Q89" s="21">
        <v>0.7</v>
      </c>
      <c r="R89" s="21">
        <v>1.2</v>
      </c>
      <c r="U89" t="s">
        <v>129</v>
      </c>
      <c r="V89">
        <v>2</v>
      </c>
      <c r="W89">
        <v>1</v>
      </c>
      <c r="X89">
        <v>1</v>
      </c>
      <c r="Y89">
        <v>2</v>
      </c>
      <c r="Z89">
        <v>1</v>
      </c>
      <c r="AC89">
        <v>39064</v>
      </c>
      <c r="AD89" s="15" t="s">
        <v>157</v>
      </c>
      <c r="AE89" t="s">
        <v>156</v>
      </c>
      <c r="AF89">
        <v>6.29</v>
      </c>
      <c r="AG89" t="s">
        <v>136</v>
      </c>
      <c r="AH89">
        <v>1</v>
      </c>
      <c r="AI89" t="s">
        <v>152</v>
      </c>
      <c r="AJ89" t="s">
        <v>159</v>
      </c>
      <c r="AK89" s="24">
        <f t="shared" si="8"/>
        <v>6.29</v>
      </c>
      <c r="AL89" s="15">
        <f>$AK89*V$96</f>
        <v>6.29</v>
      </c>
      <c r="AM89" s="15">
        <f>$AK89*W$96</f>
        <v>6.29</v>
      </c>
      <c r="AN89" s="15">
        <f>$AK89*X$96</f>
        <v>6.29</v>
      </c>
      <c r="AO89" s="15">
        <f>$AK89*Y$96</f>
        <v>6.29</v>
      </c>
      <c r="AP89" s="15">
        <f>$AK89*Z$96</f>
        <v>6.29</v>
      </c>
    </row>
    <row r="90" spans="1:42" x14ac:dyDescent="0.25">
      <c r="A90" s="22" t="s">
        <v>95</v>
      </c>
      <c r="B90" s="21">
        <v>11.3</v>
      </c>
      <c r="C90" s="21">
        <v>1.7</v>
      </c>
      <c r="D90" s="21">
        <v>2.2999999999999998</v>
      </c>
      <c r="E90" s="21">
        <v>4.8</v>
      </c>
      <c r="F90" s="21">
        <v>99</v>
      </c>
      <c r="G90" s="21">
        <v>3.9</v>
      </c>
      <c r="H90" s="21">
        <v>33</v>
      </c>
      <c r="I90" s="21">
        <v>31.7</v>
      </c>
      <c r="J90" s="21">
        <v>4</v>
      </c>
      <c r="K90" s="21">
        <v>5.3</v>
      </c>
      <c r="L90" s="21">
        <v>3500</v>
      </c>
      <c r="M90" s="21">
        <v>3</v>
      </c>
      <c r="N90" s="21">
        <v>122</v>
      </c>
      <c r="O90" s="21">
        <v>6.9</v>
      </c>
      <c r="P90" s="21">
        <v>71.7</v>
      </c>
      <c r="Q90" s="21">
        <v>25600</v>
      </c>
      <c r="R90" s="21">
        <v>274</v>
      </c>
      <c r="U90" t="s">
        <v>130</v>
      </c>
      <c r="V90">
        <v>1</v>
      </c>
      <c r="W90">
        <v>1</v>
      </c>
      <c r="X90">
        <v>1</v>
      </c>
      <c r="Y90">
        <v>1</v>
      </c>
      <c r="Z90">
        <v>1</v>
      </c>
      <c r="AC90">
        <v>39064</v>
      </c>
      <c r="AD90" s="15" t="s">
        <v>157</v>
      </c>
      <c r="AE90" t="s">
        <v>156</v>
      </c>
      <c r="AF90">
        <v>6.29</v>
      </c>
      <c r="AG90" t="s">
        <v>135</v>
      </c>
      <c r="AH90">
        <v>1</v>
      </c>
      <c r="AI90" t="s">
        <v>152</v>
      </c>
      <c r="AJ90" t="s">
        <v>164</v>
      </c>
      <c r="AK90" s="24">
        <f t="shared" si="8"/>
        <v>6.29</v>
      </c>
      <c r="AL90" s="15">
        <f>$AK90*V$95</f>
        <v>6.29</v>
      </c>
      <c r="AM90" s="15">
        <f>$AK90*W$95</f>
        <v>6.29</v>
      </c>
      <c r="AN90" s="15">
        <f>$AK90*X$95</f>
        <v>6.29</v>
      </c>
      <c r="AO90" s="15">
        <f>$AK90*Y$95</f>
        <v>6.29</v>
      </c>
      <c r="AP90" s="15">
        <f>$AK90*Z$95</f>
        <v>6.29</v>
      </c>
    </row>
    <row r="91" spans="1:42" x14ac:dyDescent="0.25">
      <c r="A91" s="22" t="s">
        <v>96</v>
      </c>
      <c r="B91" s="21">
        <v>0.1</v>
      </c>
      <c r="C91" s="21">
        <v>0.3</v>
      </c>
      <c r="D91" s="21">
        <v>0.3</v>
      </c>
      <c r="E91" s="21">
        <v>0.2</v>
      </c>
      <c r="F91" s="21">
        <v>2860</v>
      </c>
      <c r="G91" s="21">
        <v>0.4</v>
      </c>
      <c r="H91" s="21">
        <v>0.2</v>
      </c>
      <c r="I91" s="21">
        <v>0.1</v>
      </c>
      <c r="J91" s="21">
        <v>0.4</v>
      </c>
      <c r="K91" s="21">
        <v>5.2</v>
      </c>
      <c r="L91" s="21">
        <v>12.1</v>
      </c>
      <c r="M91" s="21">
        <v>1.7</v>
      </c>
      <c r="N91" s="21">
        <v>10.6</v>
      </c>
      <c r="O91" s="21">
        <v>1.2</v>
      </c>
      <c r="P91" s="21">
        <v>31.3</v>
      </c>
      <c r="Q91" s="21">
        <v>0.1</v>
      </c>
      <c r="R91" s="21">
        <v>2.2999999999999998</v>
      </c>
      <c r="U91" t="s">
        <v>131</v>
      </c>
      <c r="V91">
        <v>1</v>
      </c>
      <c r="W91">
        <v>0</v>
      </c>
      <c r="X91">
        <v>1</v>
      </c>
      <c r="Y91">
        <v>1</v>
      </c>
      <c r="Z91">
        <v>0</v>
      </c>
      <c r="AC91">
        <v>39064</v>
      </c>
      <c r="AD91" s="15" t="s">
        <v>157</v>
      </c>
      <c r="AE91" t="s">
        <v>156</v>
      </c>
      <c r="AF91">
        <v>6.29</v>
      </c>
      <c r="AG91" t="s">
        <v>127</v>
      </c>
      <c r="AH91">
        <v>1</v>
      </c>
      <c r="AI91" t="s">
        <v>152</v>
      </c>
      <c r="AJ91" t="s">
        <v>173</v>
      </c>
      <c r="AK91" s="24">
        <f t="shared" si="8"/>
        <v>6.29</v>
      </c>
      <c r="AL91" s="15">
        <f>$AK91*V$87</f>
        <v>25.16</v>
      </c>
      <c r="AM91" s="15">
        <f>$AK91*W$87</f>
        <v>0</v>
      </c>
      <c r="AN91" s="15">
        <f>$AK91*X$87</f>
        <v>25.16</v>
      </c>
      <c r="AO91" s="15">
        <f>$AK91*Y$87</f>
        <v>12.58</v>
      </c>
      <c r="AP91" s="15">
        <f>$AK91*Z$87</f>
        <v>0</v>
      </c>
    </row>
    <row r="92" spans="1:42" x14ac:dyDescent="0.25">
      <c r="A92" s="22" t="s">
        <v>97</v>
      </c>
      <c r="B92" s="21">
        <v>1.5</v>
      </c>
      <c r="C92" s="21">
        <v>3.5</v>
      </c>
      <c r="D92" s="21">
        <v>1</v>
      </c>
      <c r="E92" s="21">
        <v>22.6</v>
      </c>
      <c r="F92" s="21">
        <v>1.8</v>
      </c>
      <c r="G92" s="21">
        <v>3.9</v>
      </c>
      <c r="H92" s="21">
        <v>2.1</v>
      </c>
      <c r="I92" s="21">
        <v>1</v>
      </c>
      <c r="J92" s="21">
        <v>3.9</v>
      </c>
      <c r="K92" s="21">
        <v>391</v>
      </c>
      <c r="L92" s="21">
        <v>9.5</v>
      </c>
      <c r="M92" s="21">
        <v>1.8</v>
      </c>
      <c r="N92" s="21">
        <v>14.1</v>
      </c>
      <c r="O92" s="21">
        <v>7.2</v>
      </c>
      <c r="P92" s="21">
        <v>5.4</v>
      </c>
      <c r="Q92" s="21">
        <v>1</v>
      </c>
      <c r="R92" s="21">
        <v>1.9</v>
      </c>
      <c r="U92" t="s">
        <v>132</v>
      </c>
      <c r="V92">
        <v>1</v>
      </c>
      <c r="W92">
        <v>0</v>
      </c>
      <c r="X92">
        <v>1</v>
      </c>
      <c r="Y92">
        <v>2</v>
      </c>
      <c r="Z92">
        <v>0</v>
      </c>
      <c r="AC92">
        <v>39064</v>
      </c>
      <c r="AD92" s="15" t="s">
        <v>157</v>
      </c>
      <c r="AE92" t="s">
        <v>156</v>
      </c>
      <c r="AF92">
        <v>6.29</v>
      </c>
      <c r="AG92" t="s">
        <v>139</v>
      </c>
      <c r="AH92">
        <v>1</v>
      </c>
      <c r="AI92" t="s">
        <v>152</v>
      </c>
      <c r="AJ92" t="s">
        <v>159</v>
      </c>
      <c r="AK92" s="24">
        <f t="shared" si="8"/>
        <v>6.29</v>
      </c>
      <c r="AL92" s="15">
        <f>$AK92*V$99</f>
        <v>6.29</v>
      </c>
      <c r="AM92" s="15">
        <f>$AK92*W$99</f>
        <v>6.29</v>
      </c>
      <c r="AN92" s="15">
        <f>$AK92*X$99</f>
        <v>6.29</v>
      </c>
      <c r="AO92" s="15">
        <f>$AK92*Y$99</f>
        <v>6.29</v>
      </c>
      <c r="AP92" s="15">
        <f>$AK92*Z$99</f>
        <v>6.29</v>
      </c>
    </row>
    <row r="93" spans="1:42" x14ac:dyDescent="0.25">
      <c r="A93" s="22" t="s">
        <v>98</v>
      </c>
      <c r="B93" s="21">
        <v>0.1</v>
      </c>
      <c r="C93" s="21">
        <v>1.4</v>
      </c>
      <c r="D93" s="21">
        <v>0.2</v>
      </c>
      <c r="E93" s="21">
        <v>0.5</v>
      </c>
      <c r="F93" s="21">
        <v>280</v>
      </c>
      <c r="G93" s="21">
        <v>0.6</v>
      </c>
      <c r="H93" s="21">
        <v>0.2</v>
      </c>
      <c r="I93" s="21">
        <v>0.1</v>
      </c>
      <c r="J93" s="21">
        <v>5.8</v>
      </c>
      <c r="K93" s="21">
        <v>13</v>
      </c>
      <c r="L93" s="21">
        <v>24.8</v>
      </c>
      <c r="M93" s="21">
        <v>1.1000000000000001</v>
      </c>
      <c r="N93" s="21">
        <v>4.3</v>
      </c>
      <c r="O93" s="21">
        <v>3</v>
      </c>
      <c r="P93" s="21">
        <v>10.3</v>
      </c>
      <c r="Q93" s="21">
        <v>0.3</v>
      </c>
      <c r="R93" s="21">
        <v>2.1</v>
      </c>
      <c r="U93" t="s">
        <v>133</v>
      </c>
      <c r="V93">
        <v>2</v>
      </c>
      <c r="W93">
        <v>1</v>
      </c>
      <c r="X93">
        <v>1</v>
      </c>
      <c r="Y93">
        <v>1</v>
      </c>
      <c r="Z93">
        <v>1</v>
      </c>
      <c r="AC93">
        <v>39064</v>
      </c>
      <c r="AD93" s="15" t="s">
        <v>157</v>
      </c>
      <c r="AE93" t="s">
        <v>156</v>
      </c>
      <c r="AF93">
        <v>6.29</v>
      </c>
      <c r="AG93" t="s">
        <v>137</v>
      </c>
      <c r="AH93">
        <v>1</v>
      </c>
      <c r="AI93" t="s">
        <v>152</v>
      </c>
      <c r="AJ93" t="s">
        <v>159</v>
      </c>
      <c r="AK93" s="24">
        <f t="shared" si="8"/>
        <v>6.29</v>
      </c>
      <c r="AL93" s="15">
        <f>$AK93*V$97</f>
        <v>6.29</v>
      </c>
      <c r="AM93" s="15">
        <f>$AK93*W$97</f>
        <v>6.29</v>
      </c>
      <c r="AN93" s="15">
        <f>$AK93*X$97</f>
        <v>6.29</v>
      </c>
      <c r="AO93" s="15">
        <f>$AK93*Y$97</f>
        <v>6.29</v>
      </c>
      <c r="AP93" s="15">
        <f>$AK93*Z$97</f>
        <v>6.29</v>
      </c>
    </row>
    <row r="94" spans="1:42" x14ac:dyDescent="0.25">
      <c r="A94" s="22" t="s">
        <v>99</v>
      </c>
      <c r="B94" s="21">
        <v>4.2</v>
      </c>
      <c r="C94" s="21">
        <v>1</v>
      </c>
      <c r="D94" s="21">
        <v>1</v>
      </c>
      <c r="E94" s="21">
        <v>1</v>
      </c>
      <c r="F94" s="21">
        <v>1</v>
      </c>
      <c r="G94" s="21">
        <v>1</v>
      </c>
      <c r="H94" s="21">
        <v>1</v>
      </c>
      <c r="I94" s="21">
        <v>1</v>
      </c>
      <c r="J94" s="21">
        <v>1</v>
      </c>
      <c r="K94" s="21">
        <v>1</v>
      </c>
      <c r="L94" s="21">
        <v>16</v>
      </c>
      <c r="M94" s="21">
        <v>1</v>
      </c>
      <c r="N94" s="21">
        <v>1</v>
      </c>
      <c r="O94" s="21">
        <v>1</v>
      </c>
      <c r="P94" s="21">
        <v>1.7</v>
      </c>
      <c r="Q94" s="21">
        <v>63.3</v>
      </c>
      <c r="R94" s="21">
        <v>1</v>
      </c>
      <c r="U94" t="s">
        <v>134</v>
      </c>
      <c r="V94">
        <v>4</v>
      </c>
      <c r="W94">
        <v>0</v>
      </c>
      <c r="X94">
        <v>4</v>
      </c>
      <c r="Y94">
        <v>4</v>
      </c>
      <c r="Z94">
        <v>0</v>
      </c>
      <c r="AC94">
        <v>39064</v>
      </c>
      <c r="AD94" s="15" t="s">
        <v>157</v>
      </c>
      <c r="AE94" t="s">
        <v>156</v>
      </c>
      <c r="AF94">
        <v>6.29</v>
      </c>
      <c r="AG94" t="s">
        <v>184</v>
      </c>
      <c r="AH94">
        <v>1</v>
      </c>
      <c r="AI94" t="s">
        <v>152</v>
      </c>
      <c r="AJ94" t="s">
        <v>159</v>
      </c>
      <c r="AK94" s="24">
        <f t="shared" si="8"/>
        <v>6.29</v>
      </c>
      <c r="AL94" s="15">
        <f>$AK94*V$98</f>
        <v>6.29</v>
      </c>
      <c r="AM94" s="15">
        <f>$AK94*W$98</f>
        <v>6.29</v>
      </c>
      <c r="AN94" s="15">
        <f>$AK94*X$98</f>
        <v>6.29</v>
      </c>
      <c r="AO94" s="15">
        <f>$AK94*Y$98</f>
        <v>6.29</v>
      </c>
      <c r="AP94" s="15">
        <f>$AK94*Z$98</f>
        <v>6.29</v>
      </c>
    </row>
    <row r="95" spans="1:42" x14ac:dyDescent="0.25">
      <c r="A95" s="22" t="s">
        <v>100</v>
      </c>
      <c r="B95" s="21">
        <v>0</v>
      </c>
      <c r="C95" s="21">
        <v>0</v>
      </c>
      <c r="D95" s="21">
        <v>1</v>
      </c>
      <c r="E95" s="21">
        <v>0.1</v>
      </c>
      <c r="F95" s="21">
        <v>3</v>
      </c>
      <c r="G95" s="21">
        <v>0</v>
      </c>
      <c r="H95" s="21">
        <v>3</v>
      </c>
      <c r="I95" s="21">
        <v>0.5</v>
      </c>
      <c r="J95" s="21">
        <v>198</v>
      </c>
      <c r="K95" s="21">
        <v>0.1</v>
      </c>
      <c r="L95" s="21">
        <v>0</v>
      </c>
      <c r="M95" s="21">
        <v>0.1</v>
      </c>
      <c r="N95" s="21">
        <v>0.2</v>
      </c>
      <c r="O95" s="21">
        <v>0</v>
      </c>
      <c r="P95" s="21">
        <v>0.1</v>
      </c>
      <c r="Q95" s="21">
        <v>0</v>
      </c>
      <c r="R95" s="21">
        <v>11.9</v>
      </c>
      <c r="U95" t="s">
        <v>135</v>
      </c>
      <c r="V95">
        <v>1</v>
      </c>
      <c r="W95">
        <v>1</v>
      </c>
      <c r="X95">
        <v>1</v>
      </c>
      <c r="Y95">
        <v>1</v>
      </c>
      <c r="Z95">
        <v>1</v>
      </c>
      <c r="AC95">
        <v>39068</v>
      </c>
      <c r="AD95" s="15" t="s">
        <v>81</v>
      </c>
      <c r="AE95" t="s">
        <v>156</v>
      </c>
      <c r="AF95">
        <v>24.7</v>
      </c>
      <c r="AG95" t="s">
        <v>126</v>
      </c>
      <c r="AH95">
        <v>1</v>
      </c>
      <c r="AI95" t="s">
        <v>152</v>
      </c>
      <c r="AJ95" t="s">
        <v>153</v>
      </c>
      <c r="AK95" s="24">
        <f t="shared" si="8"/>
        <v>24.7</v>
      </c>
      <c r="AL95" s="15">
        <f>$AK95*V$86</f>
        <v>24.7</v>
      </c>
      <c r="AM95" s="15">
        <f>$AK95*W$86</f>
        <v>0</v>
      </c>
      <c r="AN95" s="15">
        <f>$AK95*X$86</f>
        <v>24.7</v>
      </c>
      <c r="AO95" s="15">
        <f>$AK95*Y$86</f>
        <v>24.7</v>
      </c>
      <c r="AP95" s="15">
        <f>$AK95*Z$86</f>
        <v>0</v>
      </c>
    </row>
    <row r="96" spans="1:42" x14ac:dyDescent="0.25">
      <c r="A96" s="22" t="s">
        <v>101</v>
      </c>
      <c r="B96" s="21">
        <v>0.5</v>
      </c>
      <c r="C96" s="21">
        <v>5.2</v>
      </c>
      <c r="D96" s="21">
        <v>0.9</v>
      </c>
      <c r="E96" s="21">
        <v>2.2999999999999998</v>
      </c>
      <c r="F96" s="21">
        <v>2550</v>
      </c>
      <c r="G96" s="21">
        <v>3.3</v>
      </c>
      <c r="H96" s="21">
        <v>1.3</v>
      </c>
      <c r="I96" s="21">
        <v>0.1</v>
      </c>
      <c r="J96" s="21">
        <v>2.9</v>
      </c>
      <c r="K96" s="21">
        <v>2.8</v>
      </c>
      <c r="L96" s="21">
        <v>7180</v>
      </c>
      <c r="M96" s="21">
        <v>4</v>
      </c>
      <c r="N96" s="21">
        <v>22.2</v>
      </c>
      <c r="O96" s="21">
        <v>11.6</v>
      </c>
      <c r="P96" s="21">
        <v>164</v>
      </c>
      <c r="Q96" s="21">
        <v>2.9</v>
      </c>
      <c r="R96" s="21">
        <v>13.7</v>
      </c>
      <c r="U96" t="s">
        <v>136</v>
      </c>
      <c r="V96">
        <v>1</v>
      </c>
      <c r="W96">
        <v>1</v>
      </c>
      <c r="X96">
        <v>1</v>
      </c>
      <c r="Y96">
        <v>1</v>
      </c>
      <c r="Z96">
        <v>1</v>
      </c>
      <c r="AC96">
        <v>39068</v>
      </c>
      <c r="AD96" s="15" t="s">
        <v>81</v>
      </c>
      <c r="AE96" t="s">
        <v>156</v>
      </c>
      <c r="AF96">
        <v>24.7</v>
      </c>
      <c r="AG96" t="s">
        <v>136</v>
      </c>
      <c r="AH96">
        <v>1</v>
      </c>
      <c r="AI96" t="s">
        <v>152</v>
      </c>
      <c r="AJ96" t="s">
        <v>159</v>
      </c>
      <c r="AK96" s="24">
        <f t="shared" si="8"/>
        <v>24.7</v>
      </c>
      <c r="AL96" s="15">
        <f>$AK96*V$96</f>
        <v>24.7</v>
      </c>
      <c r="AM96" s="15">
        <f>$AK96*W$96</f>
        <v>24.7</v>
      </c>
      <c r="AN96" s="15">
        <f>$AK96*X$96</f>
        <v>24.7</v>
      </c>
      <c r="AO96" s="15">
        <f>$AK96*Y$96</f>
        <v>24.7</v>
      </c>
      <c r="AP96" s="15">
        <f>$AK96*Z$96</f>
        <v>24.7</v>
      </c>
    </row>
    <row r="97" spans="1:42" x14ac:dyDescent="0.25">
      <c r="A97" s="22" t="s">
        <v>102</v>
      </c>
      <c r="B97" s="21">
        <v>10</v>
      </c>
      <c r="C97" s="21">
        <v>10</v>
      </c>
      <c r="D97" s="21">
        <v>10</v>
      </c>
      <c r="E97" s="21">
        <v>10</v>
      </c>
      <c r="F97" s="21">
        <v>13</v>
      </c>
      <c r="G97" s="21">
        <v>10</v>
      </c>
      <c r="H97" s="21">
        <v>10</v>
      </c>
      <c r="I97" s="21">
        <v>10</v>
      </c>
      <c r="J97" s="21">
        <v>10</v>
      </c>
      <c r="K97" s="21">
        <v>10</v>
      </c>
      <c r="L97" s="21">
        <v>10</v>
      </c>
      <c r="M97" s="21">
        <v>10</v>
      </c>
      <c r="N97" s="21">
        <v>31</v>
      </c>
      <c r="O97" s="21">
        <v>22</v>
      </c>
      <c r="P97" s="21">
        <v>453</v>
      </c>
      <c r="Q97" s="21">
        <v>10</v>
      </c>
      <c r="R97" s="21">
        <v>10</v>
      </c>
      <c r="U97" t="s">
        <v>137</v>
      </c>
      <c r="V97">
        <v>1</v>
      </c>
      <c r="W97">
        <v>1</v>
      </c>
      <c r="X97">
        <v>1</v>
      </c>
      <c r="Y97">
        <v>1</v>
      </c>
      <c r="Z97">
        <v>1</v>
      </c>
      <c r="AC97">
        <v>39068</v>
      </c>
      <c r="AD97" s="15" t="s">
        <v>81</v>
      </c>
      <c r="AE97" t="s">
        <v>156</v>
      </c>
      <c r="AF97">
        <v>24.7</v>
      </c>
      <c r="AG97" t="s">
        <v>135</v>
      </c>
      <c r="AH97">
        <v>1</v>
      </c>
      <c r="AI97" t="s">
        <v>152</v>
      </c>
      <c r="AJ97" t="s">
        <v>164</v>
      </c>
      <c r="AK97" s="24">
        <f t="shared" si="8"/>
        <v>24.7</v>
      </c>
      <c r="AL97" s="15">
        <f>$AK97*V$95</f>
        <v>24.7</v>
      </c>
      <c r="AM97" s="15">
        <f>$AK97*W$95</f>
        <v>24.7</v>
      </c>
      <c r="AN97" s="15">
        <f>$AK97*X$95</f>
        <v>24.7</v>
      </c>
      <c r="AO97" s="15">
        <f>$AK97*Y$95</f>
        <v>24.7</v>
      </c>
      <c r="AP97" s="15">
        <f>$AK97*Z$95</f>
        <v>24.7</v>
      </c>
    </row>
    <row r="98" spans="1:42" x14ac:dyDescent="0.25">
      <c r="A98" s="22" t="s">
        <v>103</v>
      </c>
      <c r="B98" s="21">
        <v>45.5</v>
      </c>
      <c r="C98" s="21">
        <v>0.8</v>
      </c>
      <c r="D98" s="21">
        <v>14700</v>
      </c>
      <c r="E98" s="21">
        <v>26.4</v>
      </c>
      <c r="F98" s="21">
        <v>21.4</v>
      </c>
      <c r="G98" s="21">
        <v>8.4</v>
      </c>
      <c r="H98" s="21">
        <v>30</v>
      </c>
      <c r="I98" s="21">
        <v>0.25</v>
      </c>
      <c r="J98" s="21">
        <v>19.600000000000001</v>
      </c>
      <c r="K98" s="21">
        <v>0.25</v>
      </c>
      <c r="L98" s="21">
        <v>18.5</v>
      </c>
      <c r="M98" s="21">
        <v>10.199999999999999</v>
      </c>
      <c r="N98" s="21">
        <v>6.6</v>
      </c>
      <c r="O98" s="21">
        <v>3.4</v>
      </c>
      <c r="P98" s="21">
        <v>14100</v>
      </c>
      <c r="Q98" s="21">
        <v>3.6</v>
      </c>
      <c r="R98" s="21">
        <v>148</v>
      </c>
      <c r="U98" t="s">
        <v>138</v>
      </c>
      <c r="V98">
        <v>1</v>
      </c>
      <c r="W98">
        <v>1</v>
      </c>
      <c r="X98">
        <v>1</v>
      </c>
      <c r="Y98">
        <v>1</v>
      </c>
      <c r="Z98">
        <v>1</v>
      </c>
      <c r="AC98">
        <v>39068</v>
      </c>
      <c r="AD98" s="15" t="s">
        <v>81</v>
      </c>
      <c r="AE98" t="s">
        <v>156</v>
      </c>
      <c r="AF98">
        <v>2</v>
      </c>
      <c r="AG98" t="s">
        <v>170</v>
      </c>
      <c r="AH98">
        <v>3</v>
      </c>
      <c r="AI98" t="s">
        <v>171</v>
      </c>
      <c r="AJ98" t="s">
        <v>162</v>
      </c>
      <c r="AK98" s="24">
        <f t="shared" si="8"/>
        <v>6</v>
      </c>
      <c r="AL98" s="15">
        <f>$AK98*V$90</f>
        <v>6</v>
      </c>
      <c r="AM98" s="15">
        <f>$AK98*W$90</f>
        <v>6</v>
      </c>
      <c r="AN98" s="15">
        <f>$AK98*X$90</f>
        <v>6</v>
      </c>
      <c r="AO98" s="15">
        <f>$AK98*Y$90</f>
        <v>6</v>
      </c>
      <c r="AP98" s="15">
        <f>$AK98*Z$90</f>
        <v>6</v>
      </c>
    </row>
    <row r="99" spans="1:42" x14ac:dyDescent="0.25">
      <c r="A99" s="22" t="s">
        <v>104</v>
      </c>
      <c r="B99" s="21">
        <v>3</v>
      </c>
      <c r="C99" s="21">
        <v>2.2999999999999998</v>
      </c>
      <c r="D99" s="21">
        <v>0.8</v>
      </c>
      <c r="E99" s="21">
        <v>6.4</v>
      </c>
      <c r="F99" s="21">
        <v>4350</v>
      </c>
      <c r="G99" s="21">
        <v>2.2000000000000002</v>
      </c>
      <c r="H99" s="21">
        <v>3.2</v>
      </c>
      <c r="I99" s="21">
        <v>0.5</v>
      </c>
      <c r="J99" s="21">
        <v>0.9</v>
      </c>
      <c r="K99" s="21">
        <v>3</v>
      </c>
      <c r="L99" s="21">
        <v>15.8</v>
      </c>
      <c r="M99" s="21">
        <v>18.7</v>
      </c>
      <c r="N99" s="21">
        <v>15.4</v>
      </c>
      <c r="O99" s="21">
        <v>5.5</v>
      </c>
      <c r="P99" s="21">
        <v>33.1</v>
      </c>
      <c r="Q99" s="21">
        <v>0.9</v>
      </c>
      <c r="R99" s="21">
        <v>24.9</v>
      </c>
      <c r="U99" t="s">
        <v>139</v>
      </c>
      <c r="V99">
        <v>1</v>
      </c>
      <c r="W99">
        <v>1</v>
      </c>
      <c r="X99">
        <v>1</v>
      </c>
      <c r="Y99">
        <v>1</v>
      </c>
      <c r="Z99">
        <v>1</v>
      </c>
      <c r="AC99">
        <v>39068</v>
      </c>
      <c r="AD99" s="15" t="s">
        <v>81</v>
      </c>
      <c r="AE99" t="s">
        <v>156</v>
      </c>
      <c r="AF99">
        <v>24.7</v>
      </c>
      <c r="AG99" t="s">
        <v>127</v>
      </c>
      <c r="AH99">
        <v>1</v>
      </c>
      <c r="AI99" t="s">
        <v>152</v>
      </c>
      <c r="AJ99" t="s">
        <v>173</v>
      </c>
      <c r="AK99" s="24">
        <f t="shared" si="8"/>
        <v>24.7</v>
      </c>
      <c r="AL99" s="15">
        <f>$AK99*V$87</f>
        <v>98.8</v>
      </c>
      <c r="AM99" s="15">
        <f>$AK99*W$87</f>
        <v>0</v>
      </c>
      <c r="AN99" s="15">
        <f>$AK99*X$87</f>
        <v>98.8</v>
      </c>
      <c r="AO99" s="15">
        <f>$AK99*Y$87</f>
        <v>49.4</v>
      </c>
      <c r="AP99" s="15">
        <f>$AK99*Z$87</f>
        <v>0</v>
      </c>
    </row>
    <row r="100" spans="1:42" x14ac:dyDescent="0.25">
      <c r="A100" s="22" t="s">
        <v>105</v>
      </c>
      <c r="B100" s="21">
        <v>0.1</v>
      </c>
      <c r="C100" s="21">
        <v>55.9</v>
      </c>
      <c r="D100" s="21">
        <v>7.4</v>
      </c>
      <c r="E100" s="21">
        <v>6.7</v>
      </c>
      <c r="F100" s="21">
        <v>11400</v>
      </c>
      <c r="G100" s="21">
        <v>4.5</v>
      </c>
      <c r="H100" s="21">
        <v>1.9</v>
      </c>
      <c r="I100" s="21">
        <v>0.1</v>
      </c>
      <c r="J100" s="21">
        <v>22.7</v>
      </c>
      <c r="K100" s="21">
        <v>2</v>
      </c>
      <c r="L100" s="21">
        <v>475</v>
      </c>
      <c r="M100" s="21">
        <v>3.9</v>
      </c>
      <c r="N100" s="21">
        <v>1090</v>
      </c>
      <c r="O100" s="21">
        <v>12.9</v>
      </c>
      <c r="P100" s="21">
        <v>576</v>
      </c>
      <c r="Q100" s="21">
        <v>1.3</v>
      </c>
      <c r="R100" s="21">
        <v>51.6</v>
      </c>
      <c r="U100" t="s">
        <v>140</v>
      </c>
      <c r="V100">
        <v>1</v>
      </c>
      <c r="W100">
        <v>1</v>
      </c>
      <c r="X100">
        <v>1</v>
      </c>
      <c r="Y100">
        <v>1</v>
      </c>
      <c r="Z100">
        <v>1</v>
      </c>
      <c r="AC100">
        <v>39068</v>
      </c>
      <c r="AD100" s="15" t="s">
        <v>81</v>
      </c>
      <c r="AE100" t="s">
        <v>156</v>
      </c>
      <c r="AF100">
        <v>24.7</v>
      </c>
      <c r="AG100" t="s">
        <v>139</v>
      </c>
      <c r="AH100">
        <v>1</v>
      </c>
      <c r="AI100" t="s">
        <v>152</v>
      </c>
      <c r="AJ100" t="s">
        <v>159</v>
      </c>
      <c r="AK100" s="24">
        <f t="shared" si="8"/>
        <v>24.7</v>
      </c>
      <c r="AL100" s="15">
        <f>$AK100*V$99</f>
        <v>24.7</v>
      </c>
      <c r="AM100" s="15">
        <f>$AK100*W$99</f>
        <v>24.7</v>
      </c>
      <c r="AN100" s="15">
        <f>$AK100*X$99</f>
        <v>24.7</v>
      </c>
      <c r="AO100" s="15">
        <f>$AK100*Y$99</f>
        <v>24.7</v>
      </c>
      <c r="AP100" s="15">
        <f>$AK100*Z$99</f>
        <v>24.7</v>
      </c>
    </row>
    <row r="101" spans="1:42" x14ac:dyDescent="0.25">
      <c r="A101" s="22" t="s">
        <v>106</v>
      </c>
      <c r="B101" s="21">
        <v>0.1</v>
      </c>
      <c r="C101" s="21">
        <v>7.1</v>
      </c>
      <c r="D101" s="21">
        <v>0.6</v>
      </c>
      <c r="E101" s="21">
        <v>0.5</v>
      </c>
      <c r="F101" s="21">
        <v>2350</v>
      </c>
      <c r="G101" s="21">
        <v>0.5</v>
      </c>
      <c r="H101" s="21">
        <v>0.6</v>
      </c>
      <c r="I101" s="21">
        <v>0.5</v>
      </c>
      <c r="J101" s="21">
        <v>0.5</v>
      </c>
      <c r="K101" s="21">
        <v>61.6</v>
      </c>
      <c r="L101" s="21">
        <v>14.7</v>
      </c>
      <c r="M101" s="21">
        <v>49.9</v>
      </c>
      <c r="N101" s="21">
        <v>25.4</v>
      </c>
      <c r="O101" s="21">
        <v>6.6</v>
      </c>
      <c r="P101" s="21">
        <v>316</v>
      </c>
      <c r="Q101" s="21">
        <v>156</v>
      </c>
      <c r="R101" s="21">
        <v>18.3</v>
      </c>
      <c r="U101" t="s">
        <v>141</v>
      </c>
      <c r="V101">
        <v>1</v>
      </c>
      <c r="W101">
        <v>1</v>
      </c>
      <c r="X101">
        <v>1</v>
      </c>
      <c r="Y101">
        <v>1</v>
      </c>
      <c r="Z101">
        <v>1</v>
      </c>
      <c r="AC101">
        <v>39068</v>
      </c>
      <c r="AD101" s="15" t="s">
        <v>81</v>
      </c>
      <c r="AE101" t="s">
        <v>156</v>
      </c>
      <c r="AF101">
        <v>24.7</v>
      </c>
      <c r="AG101" t="s">
        <v>137</v>
      </c>
      <c r="AH101">
        <v>1</v>
      </c>
      <c r="AI101" t="s">
        <v>152</v>
      </c>
      <c r="AJ101" t="s">
        <v>159</v>
      </c>
      <c r="AK101" s="24">
        <f t="shared" si="8"/>
        <v>24.7</v>
      </c>
      <c r="AL101" s="15">
        <f>$AK101*V$97</f>
        <v>24.7</v>
      </c>
      <c r="AM101" s="15">
        <f>$AK101*W$97</f>
        <v>24.7</v>
      </c>
      <c r="AN101" s="15">
        <f>$AK101*X$97</f>
        <v>24.7</v>
      </c>
      <c r="AO101" s="15">
        <f>$AK101*Y$97</f>
        <v>24.7</v>
      </c>
      <c r="AP101" s="15">
        <f>$AK101*Z$97</f>
        <v>24.7</v>
      </c>
    </row>
    <row r="102" spans="1:42" x14ac:dyDescent="0.25">
      <c r="A102" s="22" t="s">
        <v>107</v>
      </c>
      <c r="B102" s="21">
        <v>0.1</v>
      </c>
      <c r="C102" s="21">
        <v>2.2999999999999998</v>
      </c>
      <c r="D102" s="21">
        <v>1.2</v>
      </c>
      <c r="E102" s="21">
        <v>0.6</v>
      </c>
      <c r="F102" s="21">
        <v>658</v>
      </c>
      <c r="G102" s="21">
        <v>0.7</v>
      </c>
      <c r="H102" s="21">
        <v>0.3</v>
      </c>
      <c r="I102" s="21">
        <v>0.1</v>
      </c>
      <c r="J102" s="21">
        <v>0.6</v>
      </c>
      <c r="K102" s="21">
        <v>0.5</v>
      </c>
      <c r="L102" s="21">
        <v>28.2</v>
      </c>
      <c r="M102" s="21">
        <v>1</v>
      </c>
      <c r="N102" s="21">
        <v>16.600000000000001</v>
      </c>
      <c r="O102" s="21">
        <v>2.7</v>
      </c>
      <c r="P102" s="21">
        <v>38.6</v>
      </c>
      <c r="Q102" s="21">
        <v>0.1</v>
      </c>
      <c r="R102" s="21">
        <v>2.6</v>
      </c>
      <c r="U102" t="s">
        <v>142</v>
      </c>
      <c r="V102">
        <v>1</v>
      </c>
      <c r="W102">
        <v>1</v>
      </c>
      <c r="X102">
        <v>1</v>
      </c>
      <c r="Y102">
        <v>1</v>
      </c>
      <c r="Z102">
        <v>1</v>
      </c>
      <c r="AC102">
        <v>39068</v>
      </c>
      <c r="AD102" s="15" t="s">
        <v>81</v>
      </c>
      <c r="AE102" t="s">
        <v>156</v>
      </c>
      <c r="AF102">
        <v>24.7</v>
      </c>
      <c r="AG102" t="s">
        <v>184</v>
      </c>
      <c r="AH102">
        <v>1</v>
      </c>
      <c r="AI102" t="s">
        <v>152</v>
      </c>
      <c r="AJ102" t="s">
        <v>159</v>
      </c>
      <c r="AK102" s="24">
        <f t="shared" si="8"/>
        <v>24.7</v>
      </c>
      <c r="AL102" s="15">
        <f>$AK102*V$98</f>
        <v>24.7</v>
      </c>
      <c r="AM102" s="15">
        <f>$AK102*W$98</f>
        <v>24.7</v>
      </c>
      <c r="AN102" s="15">
        <f>$AK102*X$98</f>
        <v>24.7</v>
      </c>
      <c r="AO102" s="15">
        <f>$AK102*Y$98</f>
        <v>24.7</v>
      </c>
      <c r="AP102" s="15">
        <f>$AK102*Z$98</f>
        <v>24.7</v>
      </c>
    </row>
    <row r="103" spans="1:42" x14ac:dyDescent="0.25">
      <c r="A103" s="22" t="s">
        <v>108</v>
      </c>
      <c r="B103" s="21">
        <v>1</v>
      </c>
      <c r="C103" s="21">
        <v>1</v>
      </c>
      <c r="D103" s="21">
        <v>1</v>
      </c>
      <c r="E103" s="21">
        <v>1</v>
      </c>
      <c r="F103" s="21">
        <v>29.6</v>
      </c>
      <c r="G103" s="21">
        <v>1</v>
      </c>
      <c r="H103" s="21">
        <v>1</v>
      </c>
      <c r="I103" s="21">
        <v>1</v>
      </c>
      <c r="J103" s="21">
        <v>1</v>
      </c>
      <c r="K103" s="21">
        <v>1</v>
      </c>
      <c r="L103" s="21">
        <v>1</v>
      </c>
      <c r="M103" s="21">
        <v>7520</v>
      </c>
      <c r="N103" s="21">
        <v>1</v>
      </c>
      <c r="O103" s="21">
        <v>1</v>
      </c>
      <c r="P103" s="21">
        <v>1.4</v>
      </c>
      <c r="Q103" s="21">
        <v>1</v>
      </c>
      <c r="R103" s="21">
        <v>1.8</v>
      </c>
      <c r="U103" t="s">
        <v>143</v>
      </c>
      <c r="V103">
        <v>1</v>
      </c>
      <c r="W103">
        <v>1</v>
      </c>
      <c r="X103">
        <v>1</v>
      </c>
      <c r="Y103">
        <v>1</v>
      </c>
      <c r="Z103">
        <v>1</v>
      </c>
      <c r="AC103">
        <v>40141</v>
      </c>
      <c r="AD103" s="15" t="s">
        <v>154</v>
      </c>
      <c r="AE103" t="s">
        <v>155</v>
      </c>
      <c r="AF103">
        <v>169</v>
      </c>
      <c r="AG103" t="s">
        <v>126</v>
      </c>
      <c r="AH103">
        <v>1</v>
      </c>
      <c r="AI103" t="s">
        <v>152</v>
      </c>
      <c r="AJ103" t="s">
        <v>153</v>
      </c>
      <c r="AK103" s="24">
        <f t="shared" si="8"/>
        <v>169</v>
      </c>
      <c r="AL103" s="15">
        <f>$AK103*V$86</f>
        <v>169</v>
      </c>
      <c r="AM103" s="15">
        <f>$AK103*W$86</f>
        <v>0</v>
      </c>
      <c r="AN103" s="15">
        <f>$AK103*X$86</f>
        <v>169</v>
      </c>
      <c r="AO103" s="15">
        <f>$AK103*Y$86</f>
        <v>169</v>
      </c>
      <c r="AP103" s="15">
        <f>$AK103*Z$86</f>
        <v>0</v>
      </c>
    </row>
    <row r="104" spans="1:42" x14ac:dyDescent="0.25">
      <c r="A104" s="22" t="s">
        <v>109</v>
      </c>
      <c r="B104" s="21">
        <v>0.2</v>
      </c>
      <c r="C104" s="21">
        <v>4.7</v>
      </c>
      <c r="D104" s="21">
        <v>0.8</v>
      </c>
      <c r="E104" s="21">
        <v>3.3</v>
      </c>
      <c r="F104" s="21">
        <v>0.3</v>
      </c>
      <c r="G104" s="21">
        <v>2</v>
      </c>
      <c r="H104" s="21">
        <v>1.2</v>
      </c>
      <c r="I104" s="21">
        <v>0.2</v>
      </c>
      <c r="J104" s="21">
        <v>15.8</v>
      </c>
      <c r="K104" s="21">
        <v>2.1</v>
      </c>
      <c r="L104" s="21">
        <v>0.2</v>
      </c>
      <c r="M104" s="21">
        <v>7.7</v>
      </c>
      <c r="N104" s="21">
        <v>2.4</v>
      </c>
      <c r="O104" s="21">
        <v>2.6</v>
      </c>
      <c r="P104" s="21">
        <v>0.3</v>
      </c>
      <c r="Q104" s="21">
        <v>0.2</v>
      </c>
      <c r="R104" s="21">
        <v>0.5</v>
      </c>
      <c r="AC104">
        <v>40141</v>
      </c>
      <c r="AD104" s="15" t="s">
        <v>154</v>
      </c>
      <c r="AE104" t="s">
        <v>155</v>
      </c>
      <c r="AF104">
        <v>35.700000000000003</v>
      </c>
      <c r="AG104" t="s">
        <v>134</v>
      </c>
      <c r="AH104">
        <v>1</v>
      </c>
      <c r="AI104" t="s">
        <v>158</v>
      </c>
      <c r="AJ104" t="s">
        <v>153</v>
      </c>
      <c r="AK104" s="24">
        <f t="shared" si="8"/>
        <v>35.700000000000003</v>
      </c>
      <c r="AL104" s="15">
        <f>$AK104*V$94</f>
        <v>142.80000000000001</v>
      </c>
      <c r="AM104" s="15">
        <f>$AK104*W$94</f>
        <v>0</v>
      </c>
      <c r="AN104" s="15">
        <f>$AK104*X$94</f>
        <v>142.80000000000001</v>
      </c>
      <c r="AO104" s="15">
        <f>$AK104*Y$94</f>
        <v>142.80000000000001</v>
      </c>
      <c r="AP104" s="15">
        <f>$AK104*Z$94</f>
        <v>0</v>
      </c>
    </row>
    <row r="105" spans="1:42" x14ac:dyDescent="0.25">
      <c r="A105" s="22" t="s">
        <v>110</v>
      </c>
      <c r="B105" s="21">
        <v>0.1</v>
      </c>
      <c r="C105" s="21">
        <v>0.1</v>
      </c>
      <c r="D105" s="21">
        <v>0.2</v>
      </c>
      <c r="E105" s="21">
        <v>0.1</v>
      </c>
      <c r="F105" s="21">
        <v>0.2</v>
      </c>
      <c r="G105" s="21">
        <v>0.1</v>
      </c>
      <c r="H105" s="21">
        <v>0.1</v>
      </c>
      <c r="I105" s="21">
        <v>0.1</v>
      </c>
      <c r="J105" s="21">
        <v>0.1</v>
      </c>
      <c r="K105" s="21">
        <v>0.1</v>
      </c>
      <c r="L105" s="21">
        <v>0.1</v>
      </c>
      <c r="M105" s="21">
        <v>0.1</v>
      </c>
      <c r="N105" s="21">
        <v>0.1</v>
      </c>
      <c r="O105" s="21">
        <v>0.1</v>
      </c>
      <c r="P105" s="21">
        <v>0.1</v>
      </c>
      <c r="Q105" s="21">
        <v>0.4</v>
      </c>
      <c r="R105" s="21">
        <v>0.2</v>
      </c>
      <c r="AC105">
        <v>40141</v>
      </c>
      <c r="AD105" s="15" t="s">
        <v>154</v>
      </c>
      <c r="AE105" t="s">
        <v>155</v>
      </c>
      <c r="AF105">
        <v>17.5</v>
      </c>
      <c r="AG105" t="s">
        <v>142</v>
      </c>
      <c r="AH105">
        <v>1</v>
      </c>
      <c r="AI105" t="s">
        <v>158</v>
      </c>
      <c r="AJ105" t="s">
        <v>159</v>
      </c>
      <c r="AK105" s="24">
        <f t="shared" si="8"/>
        <v>17.5</v>
      </c>
      <c r="AL105" s="15">
        <f>$AK105*V$102</f>
        <v>17.5</v>
      </c>
      <c r="AM105" s="15">
        <f>$AK105*W$102</f>
        <v>17.5</v>
      </c>
      <c r="AN105" s="15">
        <f>$AK105*X$102</f>
        <v>17.5</v>
      </c>
      <c r="AO105" s="15">
        <f>$AK105*Y$102</f>
        <v>17.5</v>
      </c>
      <c r="AP105" s="15">
        <f>$AK105*Z$102</f>
        <v>17.5</v>
      </c>
    </row>
    <row r="106" spans="1:42" x14ac:dyDescent="0.25">
      <c r="A106" s="22" t="s">
        <v>111</v>
      </c>
      <c r="B106" s="21">
        <v>2</v>
      </c>
      <c r="C106" s="21">
        <v>0.1</v>
      </c>
      <c r="D106" s="21">
        <v>0.3</v>
      </c>
      <c r="E106" s="21">
        <v>0.1</v>
      </c>
      <c r="F106" s="21">
        <v>1.2</v>
      </c>
      <c r="G106" s="21">
        <v>0.2</v>
      </c>
      <c r="H106" s="21">
        <v>4</v>
      </c>
      <c r="I106" s="21">
        <v>0.2</v>
      </c>
      <c r="J106" s="21">
        <v>0.1</v>
      </c>
      <c r="K106" s="21">
        <v>0.1</v>
      </c>
      <c r="L106" s="21">
        <v>1.1000000000000001</v>
      </c>
      <c r="M106" s="21">
        <v>7.7</v>
      </c>
      <c r="N106" s="21">
        <v>0.4</v>
      </c>
      <c r="O106" s="21">
        <v>0.1</v>
      </c>
      <c r="P106" s="21">
        <v>6.1</v>
      </c>
      <c r="Q106" s="21">
        <v>2.2999999999999998</v>
      </c>
      <c r="R106" s="21">
        <v>0.5</v>
      </c>
      <c r="AC106">
        <v>40141</v>
      </c>
      <c r="AD106" s="15" t="s">
        <v>154</v>
      </c>
      <c r="AE106" t="s">
        <v>155</v>
      </c>
      <c r="AF106">
        <v>11.6</v>
      </c>
      <c r="AG106" t="s">
        <v>131</v>
      </c>
      <c r="AH106">
        <v>1</v>
      </c>
      <c r="AI106" t="s">
        <v>158</v>
      </c>
      <c r="AJ106" t="s">
        <v>162</v>
      </c>
      <c r="AK106" s="24">
        <f t="shared" si="8"/>
        <v>11.6</v>
      </c>
      <c r="AL106" s="15">
        <f>$AK106*V$91</f>
        <v>11.6</v>
      </c>
      <c r="AM106" s="15">
        <f>$AK106*W$91</f>
        <v>0</v>
      </c>
      <c r="AN106" s="15">
        <f>$AK106*X$91</f>
        <v>11.6</v>
      </c>
      <c r="AO106" s="15">
        <f>$AK106*Y$91</f>
        <v>11.6</v>
      </c>
      <c r="AP106" s="15">
        <f>$AK106*Z$91</f>
        <v>0</v>
      </c>
    </row>
    <row r="107" spans="1:42" x14ac:dyDescent="0.25">
      <c r="A107" s="22" t="s">
        <v>112</v>
      </c>
      <c r="B107" s="21">
        <v>1.1000000000000001</v>
      </c>
      <c r="C107" s="21">
        <v>14.5</v>
      </c>
      <c r="D107" s="21">
        <v>224</v>
      </c>
      <c r="E107" s="21">
        <v>250</v>
      </c>
      <c r="F107" s="21">
        <v>1070</v>
      </c>
      <c r="G107" s="21">
        <v>665</v>
      </c>
      <c r="H107" s="21">
        <v>543</v>
      </c>
      <c r="I107" s="21">
        <v>137</v>
      </c>
      <c r="J107" s="21">
        <v>1430</v>
      </c>
      <c r="K107" s="21">
        <v>59.3</v>
      </c>
      <c r="L107" s="21">
        <v>0.4</v>
      </c>
      <c r="M107" s="21">
        <v>0.1</v>
      </c>
      <c r="N107" s="21">
        <v>807</v>
      </c>
      <c r="O107" s="21">
        <v>12.7</v>
      </c>
      <c r="P107" s="21">
        <v>385</v>
      </c>
      <c r="Q107" s="21">
        <v>2050</v>
      </c>
      <c r="R107" s="21">
        <v>900</v>
      </c>
      <c r="AC107">
        <v>40141</v>
      </c>
      <c r="AD107" s="15" t="s">
        <v>154</v>
      </c>
      <c r="AE107" t="s">
        <v>155</v>
      </c>
      <c r="AF107">
        <v>10.4</v>
      </c>
      <c r="AG107" t="s">
        <v>135</v>
      </c>
      <c r="AH107">
        <v>1</v>
      </c>
      <c r="AI107" t="s">
        <v>152</v>
      </c>
      <c r="AJ107" t="s">
        <v>164</v>
      </c>
      <c r="AK107" s="24">
        <f t="shared" si="8"/>
        <v>10.4</v>
      </c>
      <c r="AL107" s="15">
        <f>$AK107*V$95</f>
        <v>10.4</v>
      </c>
      <c r="AM107" s="15">
        <f>$AK107*W$95</f>
        <v>10.4</v>
      </c>
      <c r="AN107" s="15">
        <f>$AK107*X$95</f>
        <v>10.4</v>
      </c>
      <c r="AO107" s="15">
        <f>$AK107*Y$95</f>
        <v>10.4</v>
      </c>
      <c r="AP107" s="15">
        <f>$AK107*Z$95</f>
        <v>10.4</v>
      </c>
    </row>
    <row r="108" spans="1:42" x14ac:dyDescent="0.25">
      <c r="A108" s="22" t="s">
        <v>113</v>
      </c>
      <c r="B108" s="21">
        <v>0.1</v>
      </c>
      <c r="C108" s="21">
        <v>0.6</v>
      </c>
      <c r="D108" s="21">
        <v>5</v>
      </c>
      <c r="E108" s="21">
        <v>0.3</v>
      </c>
      <c r="F108" s="21">
        <v>133</v>
      </c>
      <c r="G108" s="21">
        <v>0.4</v>
      </c>
      <c r="H108" s="21">
        <v>0.3</v>
      </c>
      <c r="I108" s="21">
        <v>0.1</v>
      </c>
      <c r="J108" s="21">
        <v>0.4</v>
      </c>
      <c r="K108" s="21">
        <v>0.3</v>
      </c>
      <c r="L108" s="21">
        <v>0.4</v>
      </c>
      <c r="M108" s="21">
        <v>0.9</v>
      </c>
      <c r="N108" s="21">
        <v>1.3</v>
      </c>
      <c r="O108" s="21">
        <v>1.6</v>
      </c>
      <c r="P108" s="21">
        <v>6.4</v>
      </c>
      <c r="Q108" s="21">
        <v>5.8</v>
      </c>
      <c r="R108" s="21">
        <v>0.3</v>
      </c>
      <c r="AC108">
        <v>40141</v>
      </c>
      <c r="AD108" s="15" t="s">
        <v>154</v>
      </c>
      <c r="AE108" t="s">
        <v>155</v>
      </c>
      <c r="AF108">
        <v>9.5</v>
      </c>
      <c r="AG108" t="s">
        <v>141</v>
      </c>
      <c r="AH108">
        <v>1</v>
      </c>
      <c r="AI108" t="s">
        <v>165</v>
      </c>
      <c r="AJ108" t="s">
        <v>159</v>
      </c>
      <c r="AK108" s="24">
        <f t="shared" si="8"/>
        <v>9.5</v>
      </c>
      <c r="AL108" s="15">
        <f>$AK108*V$101</f>
        <v>9.5</v>
      </c>
      <c r="AM108" s="15">
        <f>$AK108*W$101</f>
        <v>9.5</v>
      </c>
      <c r="AN108" s="15">
        <f>$AK108*X$101</f>
        <v>9.5</v>
      </c>
      <c r="AO108" s="15">
        <f>$AK108*Y$101</f>
        <v>9.5</v>
      </c>
      <c r="AP108" s="15">
        <f>$AK108*Z$101</f>
        <v>9.5</v>
      </c>
    </row>
    <row r="109" spans="1:42" x14ac:dyDescent="0.25">
      <c r="A109" s="22" t="s">
        <v>114</v>
      </c>
      <c r="B109" s="21">
        <v>5390</v>
      </c>
      <c r="C109" s="21">
        <v>194</v>
      </c>
      <c r="D109" s="21">
        <v>1820</v>
      </c>
      <c r="E109" s="21">
        <v>4990</v>
      </c>
      <c r="F109" s="21">
        <v>52600</v>
      </c>
      <c r="G109" s="21">
        <v>1370</v>
      </c>
      <c r="H109" s="21">
        <v>10600</v>
      </c>
      <c r="I109" s="21">
        <v>1</v>
      </c>
      <c r="J109" s="21">
        <v>453</v>
      </c>
      <c r="K109" s="21">
        <v>53600</v>
      </c>
      <c r="L109" s="21">
        <v>22.1</v>
      </c>
      <c r="M109" s="21">
        <v>288</v>
      </c>
      <c r="N109" s="21">
        <v>21500</v>
      </c>
      <c r="O109" s="21">
        <v>20200</v>
      </c>
      <c r="P109" s="21">
        <v>74100</v>
      </c>
      <c r="Q109" s="21">
        <v>20400</v>
      </c>
      <c r="R109" s="21">
        <v>14700</v>
      </c>
      <c r="AC109">
        <v>40141</v>
      </c>
      <c r="AD109" s="15" t="s">
        <v>154</v>
      </c>
      <c r="AE109" t="s">
        <v>155</v>
      </c>
      <c r="AF109">
        <v>2.75</v>
      </c>
      <c r="AG109" t="s">
        <v>128</v>
      </c>
      <c r="AH109">
        <v>1</v>
      </c>
      <c r="AI109" t="s">
        <v>166</v>
      </c>
      <c r="AJ109" t="s">
        <v>167</v>
      </c>
      <c r="AK109" s="24">
        <f t="shared" si="8"/>
        <v>2.75</v>
      </c>
      <c r="AL109" s="15">
        <f>$AK109*V$88</f>
        <v>5.5</v>
      </c>
      <c r="AM109" s="15">
        <f>$AK109*W$88</f>
        <v>0</v>
      </c>
      <c r="AN109" s="15">
        <f>$AK109*X$88</f>
        <v>2.75</v>
      </c>
      <c r="AO109" s="15">
        <f>$AK109*Y$88</f>
        <v>5.5</v>
      </c>
      <c r="AP109" s="15">
        <f>$AK109*Z$88</f>
        <v>0</v>
      </c>
    </row>
    <row r="110" spans="1:42" x14ac:dyDescent="0.25">
      <c r="A110" s="22" t="s">
        <v>115</v>
      </c>
      <c r="B110" s="21">
        <v>22.1</v>
      </c>
      <c r="C110" s="21">
        <v>415</v>
      </c>
      <c r="D110" s="21">
        <v>7.5</v>
      </c>
      <c r="E110" s="21">
        <v>34.200000000000003</v>
      </c>
      <c r="F110" s="21">
        <v>2380</v>
      </c>
      <c r="G110" s="21">
        <v>156</v>
      </c>
      <c r="H110" s="21">
        <v>53.5</v>
      </c>
      <c r="I110" s="21">
        <v>5</v>
      </c>
      <c r="J110" s="21">
        <v>22700</v>
      </c>
      <c r="K110" s="21">
        <v>255</v>
      </c>
      <c r="L110" s="21">
        <v>84100</v>
      </c>
      <c r="M110" s="21">
        <v>34.299999999999997</v>
      </c>
      <c r="N110" s="21">
        <v>314</v>
      </c>
      <c r="O110" s="21">
        <v>526</v>
      </c>
      <c r="P110" s="21">
        <v>20.9</v>
      </c>
      <c r="Q110" s="21">
        <v>1440</v>
      </c>
      <c r="R110" s="21">
        <v>101</v>
      </c>
      <c r="AC110">
        <v>40141</v>
      </c>
      <c r="AD110" s="15" t="s">
        <v>154</v>
      </c>
      <c r="AE110" t="s">
        <v>155</v>
      </c>
      <c r="AF110">
        <v>10</v>
      </c>
      <c r="AG110" t="s">
        <v>170</v>
      </c>
      <c r="AH110">
        <v>1</v>
      </c>
      <c r="AI110" t="s">
        <v>171</v>
      </c>
      <c r="AJ110" t="s">
        <v>162</v>
      </c>
      <c r="AK110" s="24">
        <f t="shared" si="8"/>
        <v>10</v>
      </c>
      <c r="AL110" s="15">
        <f>$AK110*V$90</f>
        <v>10</v>
      </c>
      <c r="AM110" s="15">
        <f>$AK110*W$90</f>
        <v>10</v>
      </c>
      <c r="AN110" s="15">
        <f>$AK110*X$90</f>
        <v>10</v>
      </c>
      <c r="AO110" s="15">
        <f>$AK110*Y$90</f>
        <v>10</v>
      </c>
      <c r="AP110" s="15">
        <f>$AK110*Z$90</f>
        <v>10</v>
      </c>
    </row>
    <row r="111" spans="1:42" x14ac:dyDescent="0.25">
      <c r="A111" s="22" t="s">
        <v>116</v>
      </c>
      <c r="B111" s="21">
        <v>0</v>
      </c>
      <c r="C111" s="21">
        <v>0</v>
      </c>
      <c r="D111" s="21">
        <v>0.5</v>
      </c>
      <c r="E111" s="21">
        <v>1.1000000000000001</v>
      </c>
      <c r="F111" s="21">
        <v>32500</v>
      </c>
      <c r="G111" s="21">
        <v>0</v>
      </c>
      <c r="H111" s="21">
        <v>0.5</v>
      </c>
      <c r="I111" s="21">
        <v>0.5</v>
      </c>
      <c r="J111" s="21">
        <v>5.4</v>
      </c>
      <c r="K111" s="21">
        <v>0.5</v>
      </c>
      <c r="L111" s="21">
        <v>0.5</v>
      </c>
      <c r="M111" s="21">
        <v>2.2000000000000002</v>
      </c>
      <c r="N111" s="21">
        <v>469</v>
      </c>
      <c r="O111" s="21">
        <v>0</v>
      </c>
      <c r="P111" s="21">
        <v>6.2</v>
      </c>
      <c r="Q111" s="21">
        <v>0</v>
      </c>
      <c r="R111" s="21">
        <v>1710</v>
      </c>
      <c r="AC111">
        <v>40141</v>
      </c>
      <c r="AD111" s="15" t="s">
        <v>154</v>
      </c>
      <c r="AE111" t="s">
        <v>155</v>
      </c>
      <c r="AF111">
        <v>35.6</v>
      </c>
      <c r="AG111" t="s">
        <v>143</v>
      </c>
      <c r="AH111">
        <v>1</v>
      </c>
      <c r="AI111" t="s">
        <v>163</v>
      </c>
      <c r="AJ111" t="s">
        <v>159</v>
      </c>
      <c r="AK111" s="24">
        <f t="shared" si="8"/>
        <v>35.6</v>
      </c>
      <c r="AL111" s="15">
        <f>$AK111*V$103</f>
        <v>35.6</v>
      </c>
      <c r="AM111" s="15">
        <f>$AK111*W$103</f>
        <v>35.6</v>
      </c>
      <c r="AN111" s="15">
        <f>$AK111*X$103</f>
        <v>35.6</v>
      </c>
      <c r="AO111" s="15">
        <f>$AK111*Y$103</f>
        <v>35.6</v>
      </c>
      <c r="AP111" s="15">
        <f>$AK111*Z$103</f>
        <v>35.6</v>
      </c>
    </row>
    <row r="112" spans="1:42" x14ac:dyDescent="0.25">
      <c r="A112" s="22" t="s">
        <v>117</v>
      </c>
      <c r="B112" s="21">
        <v>0.1</v>
      </c>
      <c r="C112" s="21">
        <v>0.4</v>
      </c>
      <c r="D112" s="21">
        <v>0.3</v>
      </c>
      <c r="E112" s="21">
        <v>0.3</v>
      </c>
      <c r="F112" s="21">
        <v>67.5</v>
      </c>
      <c r="G112" s="21">
        <v>0.2</v>
      </c>
      <c r="H112" s="21">
        <v>0.1</v>
      </c>
      <c r="I112" s="21">
        <v>0.1</v>
      </c>
      <c r="J112" s="21">
        <v>1</v>
      </c>
      <c r="K112" s="21">
        <v>14.1</v>
      </c>
      <c r="L112" s="21">
        <v>1.8</v>
      </c>
      <c r="M112" s="21">
        <v>0.2</v>
      </c>
      <c r="N112" s="21">
        <v>3</v>
      </c>
      <c r="O112" s="21">
        <v>0.7</v>
      </c>
      <c r="P112" s="21">
        <v>1.3</v>
      </c>
      <c r="Q112" s="21">
        <v>0.1</v>
      </c>
      <c r="R112" s="21">
        <v>2.2999999999999998</v>
      </c>
      <c r="AC112">
        <v>40141</v>
      </c>
      <c r="AD112" s="15" t="s">
        <v>154</v>
      </c>
      <c r="AE112" t="s">
        <v>155</v>
      </c>
      <c r="AF112">
        <v>106.8</v>
      </c>
      <c r="AG112" t="s">
        <v>140</v>
      </c>
      <c r="AH112">
        <v>1</v>
      </c>
      <c r="AI112" t="s">
        <v>165</v>
      </c>
      <c r="AJ112" t="s">
        <v>162</v>
      </c>
      <c r="AK112" s="24">
        <f t="shared" si="8"/>
        <v>106.8</v>
      </c>
      <c r="AL112" s="15">
        <f>$AK112*V$100</f>
        <v>106.8</v>
      </c>
      <c r="AM112" s="15">
        <f>$AK112*W$100</f>
        <v>106.8</v>
      </c>
      <c r="AN112" s="15">
        <f>$AK112*X$100</f>
        <v>106.8</v>
      </c>
      <c r="AO112" s="15">
        <f>$AK112*Y$100</f>
        <v>106.8</v>
      </c>
      <c r="AP112" s="15">
        <f>$AK112*Z$100</f>
        <v>106.8</v>
      </c>
    </row>
    <row r="113" spans="1:42" x14ac:dyDescent="0.25">
      <c r="A113" s="22" t="s">
        <v>118</v>
      </c>
      <c r="B113" s="21">
        <v>0.5</v>
      </c>
      <c r="C113" s="21">
        <v>0.5</v>
      </c>
      <c r="D113" s="21">
        <v>1.6</v>
      </c>
      <c r="E113" s="21">
        <v>0.5</v>
      </c>
      <c r="F113" s="21">
        <v>0.5</v>
      </c>
      <c r="G113" s="21">
        <v>0.5</v>
      </c>
      <c r="H113" s="21">
        <v>0.5</v>
      </c>
      <c r="I113" s="21">
        <v>0.5</v>
      </c>
      <c r="J113" s="21">
        <v>0.5</v>
      </c>
      <c r="K113" s="21">
        <v>0.5</v>
      </c>
      <c r="L113" s="21">
        <v>0.5</v>
      </c>
      <c r="M113" s="21">
        <v>3.4</v>
      </c>
      <c r="N113" s="21">
        <v>0.5</v>
      </c>
      <c r="O113" s="21">
        <v>0.5</v>
      </c>
      <c r="P113" s="21">
        <v>1.2</v>
      </c>
      <c r="Q113" s="21">
        <v>0.5</v>
      </c>
      <c r="R113" s="21">
        <v>1.6</v>
      </c>
      <c r="AC113">
        <v>40141</v>
      </c>
      <c r="AD113" s="15" t="s">
        <v>154</v>
      </c>
      <c r="AE113" t="s">
        <v>155</v>
      </c>
      <c r="AF113">
        <v>12.8</v>
      </c>
      <c r="AG113" t="s">
        <v>133</v>
      </c>
      <c r="AH113">
        <v>1</v>
      </c>
      <c r="AI113" t="s">
        <v>158</v>
      </c>
      <c r="AJ113" t="s">
        <v>164</v>
      </c>
      <c r="AK113" s="24">
        <f t="shared" si="8"/>
        <v>12.8</v>
      </c>
      <c r="AL113" s="15">
        <f>$AK113*V$93</f>
        <v>25.6</v>
      </c>
      <c r="AM113" s="15">
        <f>$AK113*W$93</f>
        <v>12.8</v>
      </c>
      <c r="AN113" s="15">
        <f>$AK113*X$93</f>
        <v>12.8</v>
      </c>
      <c r="AO113" s="15">
        <f>$AK113*Y$93</f>
        <v>12.8</v>
      </c>
      <c r="AP113" s="15">
        <f>$AK113*Z$93</f>
        <v>12.8</v>
      </c>
    </row>
    <row r="114" spans="1:42" x14ac:dyDescent="0.25">
      <c r="A114" s="22" t="s">
        <v>119</v>
      </c>
      <c r="B114" s="21">
        <v>0</v>
      </c>
      <c r="C114" s="21">
        <v>0.8</v>
      </c>
      <c r="D114" s="21">
        <v>122</v>
      </c>
      <c r="E114" s="21">
        <v>62</v>
      </c>
      <c r="F114" s="21">
        <v>389</v>
      </c>
      <c r="G114" s="21">
        <v>0.8</v>
      </c>
      <c r="H114" s="21">
        <v>5.0999999999999996</v>
      </c>
      <c r="I114" s="21">
        <v>1</v>
      </c>
      <c r="J114" s="21">
        <v>15.8</v>
      </c>
      <c r="K114" s="21">
        <v>0.8</v>
      </c>
      <c r="L114" s="21">
        <v>2.9</v>
      </c>
      <c r="M114" s="21">
        <v>0.6</v>
      </c>
      <c r="N114" s="21">
        <v>6.3</v>
      </c>
      <c r="O114" s="21">
        <v>1</v>
      </c>
      <c r="P114" s="21">
        <v>6.3</v>
      </c>
      <c r="Q114" s="21">
        <v>0</v>
      </c>
      <c r="R114" s="21">
        <v>233</v>
      </c>
      <c r="AC114">
        <v>40141</v>
      </c>
      <c r="AD114" s="15" t="s">
        <v>154</v>
      </c>
      <c r="AE114" t="s">
        <v>155</v>
      </c>
      <c r="AF114">
        <v>16.899999999999999</v>
      </c>
      <c r="AG114" t="s">
        <v>127</v>
      </c>
      <c r="AH114">
        <v>1</v>
      </c>
      <c r="AI114" t="s">
        <v>152</v>
      </c>
      <c r="AJ114" t="s">
        <v>173</v>
      </c>
      <c r="AK114" s="24">
        <f t="shared" si="8"/>
        <v>16.899999999999999</v>
      </c>
      <c r="AL114" s="15">
        <f>$AK114*V$87</f>
        <v>67.599999999999994</v>
      </c>
      <c r="AM114" s="15">
        <f>$AK114*W$87</f>
        <v>0</v>
      </c>
      <c r="AN114" s="15">
        <f>$AK114*X$87</f>
        <v>67.599999999999994</v>
      </c>
      <c r="AO114" s="15">
        <f>$AK114*Y$87</f>
        <v>33.799999999999997</v>
      </c>
      <c r="AP114" s="15">
        <f>$AK114*Z$87</f>
        <v>0</v>
      </c>
    </row>
    <row r="115" spans="1:42" x14ac:dyDescent="0.25">
      <c r="A115" s="22" t="s">
        <v>120</v>
      </c>
      <c r="B115" s="21">
        <v>0.1</v>
      </c>
      <c r="C115" s="21">
        <v>1.6</v>
      </c>
      <c r="D115" s="21">
        <v>1.7</v>
      </c>
      <c r="E115" s="21">
        <v>0.5</v>
      </c>
      <c r="F115" s="21">
        <v>1030</v>
      </c>
      <c r="G115" s="21">
        <v>1.2</v>
      </c>
      <c r="H115" s="21">
        <v>0.6</v>
      </c>
      <c r="I115" s="21">
        <v>0.1</v>
      </c>
      <c r="J115" s="21">
        <v>3.5</v>
      </c>
      <c r="K115" s="21">
        <v>111</v>
      </c>
      <c r="L115" s="21">
        <v>0.8</v>
      </c>
      <c r="M115" s="21">
        <v>25400</v>
      </c>
      <c r="N115" s="21">
        <v>40.6</v>
      </c>
      <c r="O115" s="21">
        <v>3.8</v>
      </c>
      <c r="P115" s="21">
        <v>23.1</v>
      </c>
      <c r="Q115" s="21">
        <v>2.2999999999999998</v>
      </c>
      <c r="R115" s="21">
        <v>1.4</v>
      </c>
      <c r="AC115">
        <v>40141</v>
      </c>
      <c r="AD115" s="15" t="s">
        <v>154</v>
      </c>
      <c r="AE115" t="s">
        <v>155</v>
      </c>
      <c r="AF115">
        <v>63.8</v>
      </c>
      <c r="AG115" t="s">
        <v>139</v>
      </c>
      <c r="AH115">
        <v>1</v>
      </c>
      <c r="AI115" t="s">
        <v>152</v>
      </c>
      <c r="AJ115" t="s">
        <v>159</v>
      </c>
      <c r="AK115" s="24">
        <f t="shared" si="8"/>
        <v>63.8</v>
      </c>
      <c r="AL115" s="15">
        <f>$AK115*V$99</f>
        <v>63.8</v>
      </c>
      <c r="AM115" s="15">
        <f>$AK115*W$99</f>
        <v>63.8</v>
      </c>
      <c r="AN115" s="15">
        <f>$AK115*X$99</f>
        <v>63.8</v>
      </c>
      <c r="AO115" s="15">
        <f>$AK115*Y$99</f>
        <v>63.8</v>
      </c>
      <c r="AP115" s="15">
        <f>$AK115*Z$99</f>
        <v>63.8</v>
      </c>
    </row>
    <row r="116" spans="1:42" x14ac:dyDescent="0.25">
      <c r="A116" s="22" t="s">
        <v>121</v>
      </c>
      <c r="B116" s="21">
        <v>0</v>
      </c>
      <c r="C116" s="21">
        <v>5</v>
      </c>
      <c r="D116" s="21">
        <v>7.4</v>
      </c>
      <c r="E116" s="21">
        <v>16.399999999999999</v>
      </c>
      <c r="F116" s="21">
        <v>16900</v>
      </c>
      <c r="G116" s="21">
        <v>17.5</v>
      </c>
      <c r="H116" s="21">
        <v>2.7</v>
      </c>
      <c r="I116" s="21">
        <v>1</v>
      </c>
      <c r="J116" s="21">
        <v>194</v>
      </c>
      <c r="K116" s="21">
        <v>19.399999999999999</v>
      </c>
      <c r="L116" s="21">
        <v>1.2</v>
      </c>
      <c r="M116" s="21">
        <v>380000</v>
      </c>
      <c r="N116" s="21">
        <v>563</v>
      </c>
      <c r="O116" s="21">
        <v>58.3</v>
      </c>
      <c r="P116" s="21">
        <v>227</v>
      </c>
      <c r="Q116" s="21">
        <v>0</v>
      </c>
      <c r="R116" s="21">
        <v>118</v>
      </c>
      <c r="AC116">
        <v>40141</v>
      </c>
      <c r="AD116" s="15" t="s">
        <v>154</v>
      </c>
      <c r="AE116" t="s">
        <v>155</v>
      </c>
      <c r="AF116">
        <v>2.75</v>
      </c>
      <c r="AG116" t="s">
        <v>174</v>
      </c>
      <c r="AH116">
        <v>1</v>
      </c>
      <c r="AI116" t="s">
        <v>166</v>
      </c>
      <c r="AJ116" t="s">
        <v>167</v>
      </c>
      <c r="AK116" s="24">
        <f t="shared" si="8"/>
        <v>2.75</v>
      </c>
      <c r="AL116" s="15">
        <f>$AK116*V$89</f>
        <v>5.5</v>
      </c>
      <c r="AM116" s="15">
        <f>$AK116*W$89</f>
        <v>2.75</v>
      </c>
      <c r="AN116" s="15">
        <f>$AK116*X$89</f>
        <v>2.75</v>
      </c>
      <c r="AO116" s="15">
        <f>$AK116*Y$89</f>
        <v>5.5</v>
      </c>
      <c r="AP116" s="15">
        <f>$AK116*Z$89</f>
        <v>2.75</v>
      </c>
    </row>
    <row r="117" spans="1:42" x14ac:dyDescent="0.25">
      <c r="AC117">
        <v>40141</v>
      </c>
      <c r="AD117" s="15" t="s">
        <v>154</v>
      </c>
      <c r="AE117" t="s">
        <v>155</v>
      </c>
      <c r="AF117">
        <v>56.3</v>
      </c>
      <c r="AG117" t="s">
        <v>184</v>
      </c>
      <c r="AH117">
        <v>1</v>
      </c>
      <c r="AI117" t="s">
        <v>152</v>
      </c>
      <c r="AJ117" t="s">
        <v>159</v>
      </c>
      <c r="AK117" s="24">
        <f t="shared" si="8"/>
        <v>56.3</v>
      </c>
      <c r="AL117" s="15">
        <f>$AK117*V$98</f>
        <v>56.3</v>
      </c>
      <c r="AM117" s="15">
        <f>$AK117*W$98</f>
        <v>56.3</v>
      </c>
      <c r="AN117" s="15">
        <f>$AK117*X$98</f>
        <v>56.3</v>
      </c>
      <c r="AO117" s="15">
        <f>$AK117*Y$98</f>
        <v>56.3</v>
      </c>
      <c r="AP117" s="15">
        <f>$AK117*Z$98</f>
        <v>56.3</v>
      </c>
    </row>
    <row r="118" spans="1:42" x14ac:dyDescent="0.25">
      <c r="A118" s="25" t="s">
        <v>194</v>
      </c>
      <c r="AC118">
        <v>39065</v>
      </c>
      <c r="AD118" s="15" t="s">
        <v>83</v>
      </c>
      <c r="AE118" t="s">
        <v>168</v>
      </c>
      <c r="AF118">
        <v>13.6</v>
      </c>
      <c r="AG118" t="s">
        <v>128</v>
      </c>
      <c r="AH118">
        <v>1</v>
      </c>
      <c r="AI118" t="s">
        <v>166</v>
      </c>
      <c r="AJ118" t="s">
        <v>167</v>
      </c>
      <c r="AK118" s="24">
        <f t="shared" ref="AK118:AK143" si="10">AH118*AF118</f>
        <v>13.6</v>
      </c>
      <c r="AL118" s="15">
        <f>$AK118*V$88</f>
        <v>27.2</v>
      </c>
      <c r="AM118" s="15">
        <f>$AK118*W$88</f>
        <v>0</v>
      </c>
      <c r="AN118" s="15">
        <f>$AK118*X$88</f>
        <v>13.6</v>
      </c>
      <c r="AO118" s="15">
        <f>$AK118*Y$88</f>
        <v>27.2</v>
      </c>
      <c r="AP118" s="15">
        <f>$AK118*Z$88</f>
        <v>0</v>
      </c>
    </row>
    <row r="119" spans="1:42" ht="60" x14ac:dyDescent="0.25">
      <c r="B119" s="22" t="s">
        <v>77</v>
      </c>
      <c r="C119" s="22" t="s">
        <v>122</v>
      </c>
      <c r="D119" s="22" t="s">
        <v>78</v>
      </c>
      <c r="E119" s="22" t="s">
        <v>79</v>
      </c>
      <c r="F119" s="22" t="s">
        <v>80</v>
      </c>
      <c r="G119" s="22" t="s">
        <v>81</v>
      </c>
      <c r="H119" s="22" t="s">
        <v>82</v>
      </c>
      <c r="I119" s="22" t="s">
        <v>83</v>
      </c>
      <c r="J119" s="22" t="s">
        <v>84</v>
      </c>
      <c r="K119" s="22" t="s">
        <v>85</v>
      </c>
      <c r="L119" s="22" t="s">
        <v>86</v>
      </c>
      <c r="M119" s="22" t="s">
        <v>87</v>
      </c>
      <c r="N119" s="22" t="s">
        <v>88</v>
      </c>
      <c r="O119" s="22" t="s">
        <v>89</v>
      </c>
      <c r="P119" s="22" t="s">
        <v>90</v>
      </c>
      <c r="Q119" s="22" t="s">
        <v>123</v>
      </c>
      <c r="R119" s="22" t="s">
        <v>149</v>
      </c>
      <c r="S119" s="22"/>
      <c r="AC119">
        <v>39065</v>
      </c>
      <c r="AD119" s="15" t="s">
        <v>83</v>
      </c>
      <c r="AE119" t="s">
        <v>168</v>
      </c>
      <c r="AF119">
        <v>13.6</v>
      </c>
      <c r="AG119" t="s">
        <v>174</v>
      </c>
      <c r="AH119">
        <v>1</v>
      </c>
      <c r="AI119" t="s">
        <v>166</v>
      </c>
      <c r="AJ119" t="s">
        <v>167</v>
      </c>
      <c r="AK119" s="24">
        <f t="shared" si="10"/>
        <v>13.6</v>
      </c>
      <c r="AL119" s="15">
        <f t="shared" ref="AL119:AP120" si="11">$AK119*V$89</f>
        <v>27.2</v>
      </c>
      <c r="AM119" s="15">
        <f t="shared" si="11"/>
        <v>13.6</v>
      </c>
      <c r="AN119" s="15">
        <f t="shared" si="11"/>
        <v>13.6</v>
      </c>
      <c r="AO119" s="15">
        <f t="shared" si="11"/>
        <v>27.2</v>
      </c>
      <c r="AP119" s="15">
        <f t="shared" si="11"/>
        <v>13.6</v>
      </c>
    </row>
    <row r="120" spans="1:42" x14ac:dyDescent="0.25">
      <c r="A120" s="15" t="s">
        <v>186</v>
      </c>
      <c r="B120">
        <f>(AL86)/1000</f>
        <v>8.9880000000000002E-2</v>
      </c>
      <c r="C120">
        <f>(AL87)/1000</f>
        <v>0.21456</v>
      </c>
      <c r="D120">
        <f>(SUM(AL88:AL94))/1000</f>
        <v>6.2899999999999998E-2</v>
      </c>
      <c r="E120">
        <v>0</v>
      </c>
      <c r="F120">
        <v>0</v>
      </c>
      <c r="G120">
        <f>(SUM(AL95:AL102))/1000</f>
        <v>0.25299999999999995</v>
      </c>
      <c r="H120">
        <f>(SUM(AL103:AL117))/1000</f>
        <v>0.73750000000000004</v>
      </c>
      <c r="I120">
        <f>(SUM(AL118:AL119))/1000</f>
        <v>5.4399999999999997E-2</v>
      </c>
      <c r="J120">
        <f>(SUM(AL120))/1000</f>
        <v>8.634E-2</v>
      </c>
      <c r="K120">
        <v>0</v>
      </c>
      <c r="L120">
        <f>(SUM(AL122:AL130))/1000</f>
        <v>1.6797</v>
      </c>
      <c r="M120">
        <f>(AL143)/1000</f>
        <v>2.2200000000000002E-3</v>
      </c>
      <c r="N120">
        <f>(SUM(AL131:AL141))/1000</f>
        <v>2.0933800000000002</v>
      </c>
      <c r="O120">
        <v>0</v>
      </c>
      <c r="P120">
        <v>0</v>
      </c>
      <c r="Q120">
        <f>(AL142)/1000</f>
        <v>1E-4</v>
      </c>
      <c r="R120">
        <v>0</v>
      </c>
      <c r="T120">
        <v>1000</v>
      </c>
      <c r="AC120">
        <v>39067</v>
      </c>
      <c r="AD120" s="15" t="s">
        <v>84</v>
      </c>
      <c r="AE120" t="s">
        <v>168</v>
      </c>
      <c r="AF120">
        <v>43.17</v>
      </c>
      <c r="AG120" t="s">
        <v>174</v>
      </c>
      <c r="AH120">
        <v>1</v>
      </c>
      <c r="AI120" t="s">
        <v>166</v>
      </c>
      <c r="AJ120" t="s">
        <v>167</v>
      </c>
      <c r="AK120" s="24">
        <f t="shared" si="10"/>
        <v>43.17</v>
      </c>
      <c r="AL120" s="15">
        <f t="shared" si="11"/>
        <v>86.34</v>
      </c>
      <c r="AM120" s="15">
        <f t="shared" si="11"/>
        <v>43.17</v>
      </c>
      <c r="AN120" s="15">
        <f t="shared" si="11"/>
        <v>43.17</v>
      </c>
      <c r="AO120" s="15">
        <f t="shared" si="11"/>
        <v>86.34</v>
      </c>
      <c r="AP120" s="15">
        <f t="shared" si="11"/>
        <v>43.17</v>
      </c>
    </row>
    <row r="121" spans="1:42" x14ac:dyDescent="0.25">
      <c r="A121" s="15" t="s">
        <v>187</v>
      </c>
      <c r="B121">
        <f>(AM86)/1000</f>
        <v>0</v>
      </c>
      <c r="C121">
        <f>(AM87)/1000</f>
        <v>0</v>
      </c>
      <c r="D121">
        <f>(SUM(AM88:AM94))/1000</f>
        <v>3.1449999999999999E-2</v>
      </c>
      <c r="E121">
        <v>0</v>
      </c>
      <c r="F121">
        <v>0</v>
      </c>
      <c r="G121">
        <f>(SUM(AM95:AM102))/1000</f>
        <v>0.1295</v>
      </c>
      <c r="H121">
        <f>(SUM(AM103:AM117))/1000</f>
        <v>0.32545000000000007</v>
      </c>
      <c r="I121">
        <f>(SUM(AM118:AM119))/1000</f>
        <v>1.3599999999999999E-2</v>
      </c>
      <c r="J121">
        <f>(SUM(AM120))/1000</f>
        <v>4.317E-2</v>
      </c>
      <c r="K121">
        <v>0</v>
      </c>
      <c r="L121">
        <f>(SUM(AM122:AM130))/1000</f>
        <v>0.84950000000000003</v>
      </c>
      <c r="M121">
        <f>(AM143)/1000</f>
        <v>1.1100000000000001E-3</v>
      </c>
      <c r="N121">
        <f>(SUM(AM131:AM141))/1000</f>
        <v>1.05897</v>
      </c>
      <c r="O121">
        <v>0</v>
      </c>
      <c r="P121">
        <v>0</v>
      </c>
      <c r="Q121">
        <f>(AM142)/1000</f>
        <v>1E-4</v>
      </c>
      <c r="R121">
        <v>0</v>
      </c>
      <c r="AC121">
        <v>39067</v>
      </c>
      <c r="AD121" s="15" t="s">
        <v>169</v>
      </c>
      <c r="AE121" t="s">
        <v>168</v>
      </c>
      <c r="AF121">
        <v>43.17</v>
      </c>
      <c r="AG121" t="s">
        <v>128</v>
      </c>
      <c r="AH121">
        <v>1</v>
      </c>
      <c r="AI121" t="s">
        <v>166</v>
      </c>
      <c r="AJ121" t="s">
        <v>167</v>
      </c>
      <c r="AK121" s="24">
        <f t="shared" si="10"/>
        <v>43.17</v>
      </c>
      <c r="AL121" s="15">
        <f>$AK121*V$88</f>
        <v>86.34</v>
      </c>
      <c r="AM121" s="15">
        <f>$AK121*W$88</f>
        <v>0</v>
      </c>
      <c r="AN121" s="15">
        <f>$AK121*X$88</f>
        <v>43.17</v>
      </c>
      <c r="AO121" s="15">
        <f>$AK121*Y$88</f>
        <v>86.34</v>
      </c>
      <c r="AP121" s="15">
        <f>$AK121*Z$88</f>
        <v>0</v>
      </c>
    </row>
    <row r="122" spans="1:42" x14ac:dyDescent="0.25">
      <c r="A122" s="15" t="s">
        <v>188</v>
      </c>
      <c r="B122">
        <f>(AN86)/1000</f>
        <v>8.9880000000000002E-2</v>
      </c>
      <c r="C122">
        <f>(AN87)/1000</f>
        <v>0.21456</v>
      </c>
      <c r="D122">
        <f>(SUM(AN88:AN94))/1000</f>
        <v>6.2899999999999998E-2</v>
      </c>
      <c r="E122">
        <v>0</v>
      </c>
      <c r="F122">
        <v>0</v>
      </c>
      <c r="G122">
        <f>(SUM(AN95:AN102))/1000</f>
        <v>0.25299999999999995</v>
      </c>
      <c r="H122">
        <f>(SUM(AN103:AN117))/1000</f>
        <v>0.71919999999999995</v>
      </c>
      <c r="I122">
        <f>(SUM(AN118:AN119))/1000</f>
        <v>2.7199999999999998E-2</v>
      </c>
      <c r="J122">
        <f>(SUM(AN120))/1000</f>
        <v>4.317E-2</v>
      </c>
      <c r="K122">
        <v>0</v>
      </c>
      <c r="L122">
        <f>(SUM(AN122:AN130))/1000</f>
        <v>1.6665000000000001</v>
      </c>
      <c r="M122">
        <f>(AN143)/1000</f>
        <v>1.1100000000000001E-3</v>
      </c>
      <c r="N122">
        <f>(SUM(AN131:AN141))/1000</f>
        <v>1.4878399999999998</v>
      </c>
      <c r="O122">
        <v>0</v>
      </c>
      <c r="P122">
        <v>0</v>
      </c>
      <c r="Q122">
        <f>(AN142)/1000</f>
        <v>1E-4</v>
      </c>
      <c r="R122">
        <v>0</v>
      </c>
      <c r="AC122">
        <v>39062</v>
      </c>
      <c r="AD122" s="15" t="s">
        <v>86</v>
      </c>
      <c r="AE122" t="s">
        <v>156</v>
      </c>
      <c r="AF122">
        <v>234</v>
      </c>
      <c r="AG122" t="s">
        <v>126</v>
      </c>
      <c r="AH122">
        <v>1</v>
      </c>
      <c r="AI122" t="s">
        <v>152</v>
      </c>
      <c r="AJ122" t="s">
        <v>153</v>
      </c>
      <c r="AK122" s="24">
        <f t="shared" si="10"/>
        <v>234</v>
      </c>
      <c r="AL122" s="15">
        <f>$AK122*V$86</f>
        <v>234</v>
      </c>
      <c r="AM122" s="15">
        <f>$AK122*W$86</f>
        <v>0</v>
      </c>
      <c r="AN122" s="15">
        <f>$AK122*X$86</f>
        <v>234</v>
      </c>
      <c r="AO122" s="15">
        <f>$AK122*Y$86</f>
        <v>234</v>
      </c>
      <c r="AP122" s="15">
        <f>$AK122*Z$86</f>
        <v>0</v>
      </c>
    </row>
    <row r="123" spans="1:42" x14ac:dyDescent="0.25">
      <c r="A123" s="15" t="s">
        <v>189</v>
      </c>
      <c r="B123">
        <f>(AO86)/1000</f>
        <v>8.9880000000000002E-2</v>
      </c>
      <c r="C123">
        <f>(AO87)/1000</f>
        <v>0.21456</v>
      </c>
      <c r="D123">
        <f>(SUM(AO88:AO94))/1000</f>
        <v>5.0320000000000004E-2</v>
      </c>
      <c r="E123">
        <v>0</v>
      </c>
      <c r="F123">
        <v>0</v>
      </c>
      <c r="G123">
        <f>(SUM(AO95:AO102))/1000</f>
        <v>0.20359999999999998</v>
      </c>
      <c r="H123">
        <f>(SUM(AO103:AO117))/1000</f>
        <v>0.69089999999999985</v>
      </c>
      <c r="I123">
        <f>(SUM(AO118:AO119))/1000</f>
        <v>5.4399999999999997E-2</v>
      </c>
      <c r="J123">
        <f>(SUM(AO120))/1000</f>
        <v>8.634E-2</v>
      </c>
      <c r="K123">
        <v>0</v>
      </c>
      <c r="L123">
        <f>(SUM(AO122:AO130))/1000</f>
        <v>1.3915</v>
      </c>
      <c r="M123">
        <f>(AO143)/1000</f>
        <v>1.1100000000000001E-3</v>
      </c>
      <c r="N123">
        <f>(SUM(AO131:AO141))/1000</f>
        <v>2.1691799999999999</v>
      </c>
      <c r="O123">
        <v>0</v>
      </c>
      <c r="P123">
        <v>0</v>
      </c>
      <c r="Q123">
        <f>(AO142)/1000</f>
        <v>1E-4</v>
      </c>
      <c r="R123">
        <v>0</v>
      </c>
      <c r="AC123">
        <v>39062</v>
      </c>
      <c r="AD123" s="15" t="s">
        <v>86</v>
      </c>
      <c r="AE123" t="s">
        <v>156</v>
      </c>
      <c r="AF123">
        <v>137.4</v>
      </c>
      <c r="AG123" t="s">
        <v>135</v>
      </c>
      <c r="AH123">
        <v>1</v>
      </c>
      <c r="AI123" t="s">
        <v>152</v>
      </c>
      <c r="AJ123" t="s">
        <v>164</v>
      </c>
      <c r="AK123" s="24">
        <f t="shared" si="10"/>
        <v>137.4</v>
      </c>
      <c r="AL123" s="15">
        <f>$AK123*V$95</f>
        <v>137.4</v>
      </c>
      <c r="AM123" s="15">
        <f>$AK123*W$95</f>
        <v>137.4</v>
      </c>
      <c r="AN123" s="15">
        <f>$AK123*X$95</f>
        <v>137.4</v>
      </c>
      <c r="AO123" s="15">
        <f>$AK123*Y$95</f>
        <v>137.4</v>
      </c>
      <c r="AP123" s="15">
        <f>$AK123*Z$95</f>
        <v>137.4</v>
      </c>
    </row>
    <row r="124" spans="1:42" x14ac:dyDescent="0.25">
      <c r="A124" s="15" t="s">
        <v>190</v>
      </c>
      <c r="B124">
        <f>(AP86)/1000</f>
        <v>0</v>
      </c>
      <c r="C124">
        <f>(AP87)/1000</f>
        <v>0</v>
      </c>
      <c r="D124">
        <f>(SUM(AP88:AP94))/1000</f>
        <v>3.1449999999999999E-2</v>
      </c>
      <c r="E124">
        <v>0</v>
      </c>
      <c r="F124">
        <v>0</v>
      </c>
      <c r="G124">
        <f>(SUM(AP95:AP102))/1000</f>
        <v>0.1295</v>
      </c>
      <c r="H124">
        <f>(SUM(AP103:AP117))/1000</f>
        <v>0.32545000000000007</v>
      </c>
      <c r="I124">
        <f>(SUM(AP118:AP119))/1000</f>
        <v>1.3599999999999999E-2</v>
      </c>
      <c r="J124">
        <f>(SUM(AP120))/1000</f>
        <v>4.317E-2</v>
      </c>
      <c r="K124">
        <v>0</v>
      </c>
      <c r="L124">
        <f>(SUM(AP122:AP130))/1000</f>
        <v>0.84950000000000003</v>
      </c>
      <c r="M124">
        <f>(AP143)/1000</f>
        <v>1.1100000000000001E-3</v>
      </c>
      <c r="N124">
        <f>(SUM(AP131:AP141))/1000</f>
        <v>1.05897</v>
      </c>
      <c r="O124">
        <v>0</v>
      </c>
      <c r="P124">
        <v>0</v>
      </c>
      <c r="Q124">
        <f>(AP142)/1000</f>
        <v>1E-4</v>
      </c>
      <c r="R124">
        <v>0</v>
      </c>
      <c r="AC124">
        <v>39062</v>
      </c>
      <c r="AD124" s="15" t="s">
        <v>86</v>
      </c>
      <c r="AE124" t="s">
        <v>156</v>
      </c>
      <c r="AF124">
        <v>6.6</v>
      </c>
      <c r="AG124" t="s">
        <v>128</v>
      </c>
      <c r="AH124">
        <v>1</v>
      </c>
      <c r="AI124" t="s">
        <v>166</v>
      </c>
      <c r="AJ124" t="s">
        <v>167</v>
      </c>
      <c r="AK124" s="24">
        <f t="shared" si="10"/>
        <v>6.6</v>
      </c>
      <c r="AL124" s="15">
        <f>$AK124*V$88</f>
        <v>13.2</v>
      </c>
      <c r="AM124" s="15">
        <f>$AK124*W$88</f>
        <v>0</v>
      </c>
      <c r="AN124" s="15">
        <f>$AK124*X$88</f>
        <v>6.6</v>
      </c>
      <c r="AO124" s="15">
        <f>$AK124*Y$88</f>
        <v>13.2</v>
      </c>
      <c r="AP124" s="15">
        <f>$AK124*Z$88</f>
        <v>0</v>
      </c>
    </row>
    <row r="125" spans="1:42" x14ac:dyDescent="0.25">
      <c r="A125" s="22"/>
      <c r="AC125">
        <v>39062</v>
      </c>
      <c r="AD125" s="15" t="s">
        <v>86</v>
      </c>
      <c r="AE125" t="s">
        <v>156</v>
      </c>
      <c r="AF125">
        <v>4.9000000000000004</v>
      </c>
      <c r="AG125" t="s">
        <v>170</v>
      </c>
      <c r="AH125">
        <v>3</v>
      </c>
      <c r="AI125" t="s">
        <v>171</v>
      </c>
      <c r="AJ125" t="s">
        <v>162</v>
      </c>
      <c r="AK125" s="24">
        <f t="shared" si="10"/>
        <v>14.700000000000001</v>
      </c>
      <c r="AL125" s="15">
        <f>$AK125*V$90</f>
        <v>14.700000000000001</v>
      </c>
      <c r="AM125" s="15">
        <f>$AK125*W$90</f>
        <v>14.700000000000001</v>
      </c>
      <c r="AN125" s="15">
        <f>$AK125*X$90</f>
        <v>14.700000000000001</v>
      </c>
      <c r="AO125" s="15">
        <f>$AK125*Y$90</f>
        <v>14.700000000000001</v>
      </c>
      <c r="AP125" s="15">
        <f>$AK125*Z$90</f>
        <v>14.700000000000001</v>
      </c>
    </row>
    <row r="126" spans="1:42" x14ac:dyDescent="0.25">
      <c r="A126" s="25" t="s">
        <v>191</v>
      </c>
      <c r="H126" s="26" t="s">
        <v>196</v>
      </c>
      <c r="J126" t="s">
        <v>195</v>
      </c>
      <c r="AC126">
        <v>39062</v>
      </c>
      <c r="AD126" s="15" t="s">
        <v>86</v>
      </c>
      <c r="AE126" t="s">
        <v>156</v>
      </c>
      <c r="AF126">
        <v>4.8</v>
      </c>
      <c r="AG126" t="s">
        <v>140</v>
      </c>
      <c r="AH126">
        <v>1</v>
      </c>
      <c r="AI126" t="s">
        <v>165</v>
      </c>
      <c r="AJ126" t="s">
        <v>162</v>
      </c>
      <c r="AK126" s="24">
        <f t="shared" si="10"/>
        <v>4.8</v>
      </c>
      <c r="AL126" s="15">
        <f>$AK126*V$100</f>
        <v>4.8</v>
      </c>
      <c r="AM126" s="15">
        <f>$AK126*W$100</f>
        <v>4.8</v>
      </c>
      <c r="AN126" s="15">
        <f>$AK126*X$100</f>
        <v>4.8</v>
      </c>
      <c r="AO126" s="15">
        <f>$AK126*Y$100</f>
        <v>4.8</v>
      </c>
      <c r="AP126" s="15">
        <f>$AK126*Z$100</f>
        <v>4.8</v>
      </c>
    </row>
    <row r="127" spans="1:42" x14ac:dyDescent="0.25">
      <c r="A127" s="22"/>
      <c r="B127" s="15" t="s">
        <v>186</v>
      </c>
      <c r="C127" s="15" t="s">
        <v>187</v>
      </c>
      <c r="D127" s="15" t="s">
        <v>188</v>
      </c>
      <c r="E127" s="15" t="s">
        <v>189</v>
      </c>
      <c r="F127" s="15" t="s">
        <v>190</v>
      </c>
      <c r="H127" s="22"/>
      <c r="I127" s="15" t="s">
        <v>186</v>
      </c>
      <c r="J127" s="15" t="s">
        <v>187</v>
      </c>
      <c r="K127" s="15" t="s">
        <v>188</v>
      </c>
      <c r="L127" s="15" t="s">
        <v>189</v>
      </c>
      <c r="M127" s="15" t="s">
        <v>190</v>
      </c>
      <c r="AC127">
        <v>39062</v>
      </c>
      <c r="AD127" s="15" t="s">
        <v>86</v>
      </c>
      <c r="AE127" t="s">
        <v>156</v>
      </c>
      <c r="AF127">
        <v>144.1</v>
      </c>
      <c r="AG127" t="s">
        <v>127</v>
      </c>
      <c r="AH127">
        <v>1</v>
      </c>
      <c r="AI127" t="s">
        <v>152</v>
      </c>
      <c r="AJ127" t="s">
        <v>173</v>
      </c>
      <c r="AK127" s="24">
        <f t="shared" si="10"/>
        <v>144.1</v>
      </c>
      <c r="AL127" s="15">
        <f>$AK127*V$87</f>
        <v>576.4</v>
      </c>
      <c r="AM127" s="15">
        <f>$AK127*W$87</f>
        <v>0</v>
      </c>
      <c r="AN127" s="15">
        <f>$AK127*X$87</f>
        <v>576.4</v>
      </c>
      <c r="AO127" s="15">
        <f>$AK127*Y$87</f>
        <v>288.2</v>
      </c>
      <c r="AP127" s="15">
        <f>$AK127*Z$87</f>
        <v>0</v>
      </c>
    </row>
    <row r="128" spans="1:42" x14ac:dyDescent="0.25">
      <c r="A128" s="22" t="s">
        <v>91</v>
      </c>
      <c r="B128">
        <f>B$120*B86+C$120*C86+D$120*D86+G$120*G86+H$120*H86+I$120*I86+J$120*J86+L$120*L86+M$120*M86+N$120*N86+Q$120*Q86</f>
        <v>1576.1183340000002</v>
      </c>
      <c r="C128">
        <f>B$121*B86+C$121*C86+D$121*D86+G$121*G86+H$121*H86+I$121*I86+J$121*J86+L$121*L86+M$121*M86+N$121*N86+Q$121*Q86</f>
        <v>746.31018500000005</v>
      </c>
      <c r="D128">
        <f>B$122*B86+C$122*C86+D$122*D86+G$122*G86+H$122*H86+I$122*I86+J$122*J86+L$122*L86+M$122*M86+N$122*N86+Q$122*Q86</f>
        <v>1309.7990089999998</v>
      </c>
      <c r="E128">
        <f>B$123*B86+C$123*C86+D$123*D86+G$123*G86+H$123*H86+I$123*I86+J$123*J86+L$123*L86+M$123*M86+N$123*N86+Q$123*Q86</f>
        <v>1559.2804239999998</v>
      </c>
      <c r="F128">
        <f>B$124*B86+C$124*C86+D$124*D86+G$124*G86+H$124*H86+I$124*I86+J$124*J86+L$124*L86+M$124*M86+N$124*N86+Q$124*Q86</f>
        <v>746.31018500000005</v>
      </c>
      <c r="H128" s="22" t="s">
        <v>91</v>
      </c>
      <c r="I128" s="20">
        <f>B128/1000</f>
        <v>1.5761183340000002</v>
      </c>
      <c r="J128" s="20">
        <f t="shared" ref="J128:M128" si="12">C128/1000</f>
        <v>0.74631018500000001</v>
      </c>
      <c r="K128" s="20">
        <f t="shared" si="12"/>
        <v>1.3097990089999998</v>
      </c>
      <c r="L128" s="20">
        <f t="shared" si="12"/>
        <v>1.5592804239999998</v>
      </c>
      <c r="M128" s="20">
        <f t="shared" si="12"/>
        <v>0.74631018500000001</v>
      </c>
      <c r="AC128">
        <v>39062</v>
      </c>
      <c r="AD128" s="15" t="s">
        <v>86</v>
      </c>
      <c r="AE128" t="s">
        <v>175</v>
      </c>
      <c r="AF128">
        <v>6.6</v>
      </c>
      <c r="AG128" t="s">
        <v>174</v>
      </c>
      <c r="AH128">
        <v>1</v>
      </c>
      <c r="AI128" t="s">
        <v>166</v>
      </c>
      <c r="AJ128" t="s">
        <v>167</v>
      </c>
      <c r="AK128" s="24">
        <f t="shared" si="10"/>
        <v>6.6</v>
      </c>
      <c r="AL128" s="15">
        <f>$AK128*V$89</f>
        <v>13.2</v>
      </c>
      <c r="AM128" s="15">
        <f>$AK128*W$89</f>
        <v>6.6</v>
      </c>
      <c r="AN128" s="15">
        <f>$AK128*X$89</f>
        <v>6.6</v>
      </c>
      <c r="AO128" s="15">
        <f>$AK128*Y$89</f>
        <v>13.2</v>
      </c>
      <c r="AP128" s="15">
        <f>$AK128*Z$89</f>
        <v>6.6</v>
      </c>
    </row>
    <row r="129" spans="1:42" x14ac:dyDescent="0.25">
      <c r="A129" s="22" t="s">
        <v>92</v>
      </c>
      <c r="B129">
        <f t="shared" ref="B129:B158" si="13">B$120*B87+C$120*C87+D$120*D87+G$120*G87+H$120*H87+I$120*I87+J$120*J87+L$120*L87+M$120*M87+N$120*N87+Q$120*Q87</f>
        <v>298.12790799999999</v>
      </c>
      <c r="C129">
        <f t="shared" ref="C129:C158" si="14">B$121*B87+C$121*C87+D$121*D87+G$121*G87+H$121*H87+I$121*I87+J$121*J87+L$121*L87+M$121*M87+N$121*N87+Q$121*Q87</f>
        <v>147.88761400000001</v>
      </c>
      <c r="D129">
        <f t="shared" ref="D129:D158" si="15">B$122*B87+C$122*C87+D$122*D87+G$122*G87+H$122*H87+I$122*I87+J$122*J87+L$122*L87+M$122*M87+N$122*N87+Q$122*Q87</f>
        <v>222.83742899999996</v>
      </c>
      <c r="E129">
        <f t="shared" ref="E129:E158" si="16">B$123*B87+C$123*C87+D$123*D87+G$123*G87+H$123*H87+I$123*I87+J$123*J87+L$123*L87+M$123*M87+N$123*N87+Q$123*Q87</f>
        <v>304.57213899999994</v>
      </c>
      <c r="F129">
        <f t="shared" ref="F129:F158" si="17">B$124*B87+C$124*C87+D$124*D87+G$124*G87+H$124*H87+I$124*I87+J$124*J87+L$124*L87+M$124*M87+N$124*N87+Q$124*Q87</f>
        <v>147.88761400000001</v>
      </c>
      <c r="H129" s="22" t="s">
        <v>92</v>
      </c>
      <c r="I129" s="20">
        <f t="shared" ref="I129:I158" si="18">B129/1000</f>
        <v>0.298127908</v>
      </c>
      <c r="J129" s="20">
        <f t="shared" ref="J129:J158" si="19">C129/1000</f>
        <v>0.147887614</v>
      </c>
      <c r="K129" s="20">
        <f t="shared" ref="K129:K158" si="20">D129/1000</f>
        <v>0.22283742899999995</v>
      </c>
      <c r="L129" s="20">
        <f t="shared" ref="L129:L158" si="21">E129/1000</f>
        <v>0.30457213899999991</v>
      </c>
      <c r="M129" s="20">
        <f t="shared" ref="M129:M158" si="22">F129/1000</f>
        <v>0.147887614</v>
      </c>
      <c r="AC129">
        <v>39062</v>
      </c>
      <c r="AD129" s="15" t="s">
        <v>86</v>
      </c>
      <c r="AE129" t="s">
        <v>156</v>
      </c>
      <c r="AF129">
        <v>529</v>
      </c>
      <c r="AG129" t="s">
        <v>137</v>
      </c>
      <c r="AH129">
        <v>1</v>
      </c>
      <c r="AI129" t="s">
        <v>152</v>
      </c>
      <c r="AJ129" t="s">
        <v>159</v>
      </c>
      <c r="AK129" s="24">
        <f t="shared" si="10"/>
        <v>529</v>
      </c>
      <c r="AL129" s="15">
        <f>$AK129*V$97</f>
        <v>529</v>
      </c>
      <c r="AM129" s="15">
        <f>$AK129*W$97</f>
        <v>529</v>
      </c>
      <c r="AN129" s="15">
        <f>$AK129*X$97</f>
        <v>529</v>
      </c>
      <c r="AO129" s="15">
        <f>$AK129*Y$97</f>
        <v>529</v>
      </c>
      <c r="AP129" s="15">
        <f>$AK129*Z$97</f>
        <v>529</v>
      </c>
    </row>
    <row r="130" spans="1:42" x14ac:dyDescent="0.25">
      <c r="A130" s="22" t="s">
        <v>93</v>
      </c>
      <c r="B130">
        <f t="shared" si="13"/>
        <v>5.7344900000000001</v>
      </c>
      <c r="C130">
        <f t="shared" si="14"/>
        <v>2.5933150000000005</v>
      </c>
      <c r="D130">
        <f t="shared" si="15"/>
        <v>5.3033700000000001</v>
      </c>
      <c r="E130">
        <f t="shared" si="16"/>
        <v>5.3777249999999999</v>
      </c>
      <c r="F130">
        <f t="shared" si="17"/>
        <v>2.5933150000000005</v>
      </c>
      <c r="H130" s="22" t="s">
        <v>93</v>
      </c>
      <c r="I130" s="20">
        <f t="shared" si="18"/>
        <v>5.7344900000000001E-3</v>
      </c>
      <c r="J130" s="20">
        <f t="shared" si="19"/>
        <v>2.5933150000000006E-3</v>
      </c>
      <c r="K130" s="20">
        <f t="shared" si="20"/>
        <v>5.30337E-3</v>
      </c>
      <c r="L130" s="20">
        <f t="shared" si="21"/>
        <v>5.3777249999999999E-3</v>
      </c>
      <c r="M130" s="20">
        <f t="shared" si="22"/>
        <v>2.5933150000000006E-3</v>
      </c>
      <c r="AC130">
        <v>39062</v>
      </c>
      <c r="AD130" s="15" t="s">
        <v>86</v>
      </c>
      <c r="AE130" t="s">
        <v>156</v>
      </c>
      <c r="AF130">
        <v>157</v>
      </c>
      <c r="AG130" t="s">
        <v>184</v>
      </c>
      <c r="AH130">
        <v>1</v>
      </c>
      <c r="AI130" t="s">
        <v>152</v>
      </c>
      <c r="AJ130" t="s">
        <v>159</v>
      </c>
      <c r="AK130" s="24">
        <f t="shared" si="10"/>
        <v>157</v>
      </c>
      <c r="AL130" s="15">
        <f>$AK130*V$98</f>
        <v>157</v>
      </c>
      <c r="AM130" s="15">
        <f>$AK130*W$98</f>
        <v>157</v>
      </c>
      <c r="AN130" s="15">
        <f>$AK130*X$98</f>
        <v>157</v>
      </c>
      <c r="AO130" s="15">
        <f>$AK130*Y$98</f>
        <v>157</v>
      </c>
      <c r="AP130" s="15">
        <f>$AK130*Z$98</f>
        <v>157</v>
      </c>
    </row>
    <row r="131" spans="1:42" x14ac:dyDescent="0.25">
      <c r="A131" s="22" t="s">
        <v>94</v>
      </c>
      <c r="B131">
        <f t="shared" si="13"/>
        <v>36.608376</v>
      </c>
      <c r="C131">
        <f t="shared" si="14"/>
        <v>17.513978999999999</v>
      </c>
      <c r="D131">
        <f t="shared" si="15"/>
        <v>28.098959999999998</v>
      </c>
      <c r="E131">
        <f t="shared" si="16"/>
        <v>36.766303999999998</v>
      </c>
      <c r="F131">
        <f t="shared" si="17"/>
        <v>17.513978999999999</v>
      </c>
      <c r="H131" s="22" t="s">
        <v>94</v>
      </c>
      <c r="I131" s="20">
        <f t="shared" si="18"/>
        <v>3.6608375999999998E-2</v>
      </c>
      <c r="J131" s="20">
        <f t="shared" si="19"/>
        <v>1.7513978999999999E-2</v>
      </c>
      <c r="K131" s="20">
        <f t="shared" si="20"/>
        <v>2.8098959999999999E-2</v>
      </c>
      <c r="L131" s="20">
        <f t="shared" si="21"/>
        <v>3.6766304E-2</v>
      </c>
      <c r="M131" s="20">
        <f t="shared" si="22"/>
        <v>1.7513978999999999E-2</v>
      </c>
      <c r="AC131">
        <v>39070</v>
      </c>
      <c r="AD131" s="15" t="s">
        <v>150</v>
      </c>
      <c r="AE131" t="s">
        <v>151</v>
      </c>
      <c r="AF131">
        <v>40</v>
      </c>
      <c r="AG131" t="s">
        <v>126</v>
      </c>
      <c r="AH131">
        <v>1</v>
      </c>
      <c r="AI131" t="s">
        <v>152</v>
      </c>
      <c r="AJ131" t="s">
        <v>153</v>
      </c>
      <c r="AK131" s="24">
        <f t="shared" si="10"/>
        <v>40</v>
      </c>
      <c r="AL131" s="15">
        <f>$AK131*V$86</f>
        <v>40</v>
      </c>
      <c r="AM131" s="15">
        <f>$AK131*W$86</f>
        <v>0</v>
      </c>
      <c r="AN131" s="15">
        <f>$AK131*X$86</f>
        <v>40</v>
      </c>
      <c r="AO131" s="15">
        <f>$AK131*Y$86</f>
        <v>40</v>
      </c>
      <c r="AP131" s="15">
        <f>$AK131*Z$86</f>
        <v>0</v>
      </c>
    </row>
    <row r="132" spans="1:42" x14ac:dyDescent="0.25">
      <c r="A132" s="22" t="s">
        <v>95</v>
      </c>
      <c r="B132">
        <f t="shared" si="13"/>
        <v>6165.8281260000003</v>
      </c>
      <c r="C132">
        <f t="shared" si="14"/>
        <v>3116.9287049999998</v>
      </c>
      <c r="D132">
        <f t="shared" si="15"/>
        <v>6044.1100960000003</v>
      </c>
      <c r="E132">
        <f t="shared" si="16"/>
        <v>5164.6130019999991</v>
      </c>
      <c r="F132">
        <f t="shared" si="17"/>
        <v>3116.9287049999998</v>
      </c>
      <c r="H132" s="22" t="s">
        <v>95</v>
      </c>
      <c r="I132" s="20">
        <f t="shared" si="18"/>
        <v>6.1658281260000001</v>
      </c>
      <c r="J132" s="20">
        <f t="shared" si="19"/>
        <v>3.1169287049999999</v>
      </c>
      <c r="K132" s="20">
        <f t="shared" si="20"/>
        <v>6.0441100960000007</v>
      </c>
      <c r="L132" s="20">
        <f t="shared" si="21"/>
        <v>5.1646130019999994</v>
      </c>
      <c r="M132" s="20">
        <f t="shared" si="22"/>
        <v>3.1169287049999999</v>
      </c>
      <c r="AC132">
        <v>39070</v>
      </c>
      <c r="AD132" s="15" t="s">
        <v>150</v>
      </c>
      <c r="AE132" t="s">
        <v>151</v>
      </c>
      <c r="AF132">
        <v>41.2</v>
      </c>
      <c r="AG132" t="s">
        <v>142</v>
      </c>
      <c r="AH132">
        <v>1</v>
      </c>
      <c r="AI132" t="s">
        <v>158</v>
      </c>
      <c r="AJ132" t="s">
        <v>159</v>
      </c>
      <c r="AK132" s="24">
        <f t="shared" si="10"/>
        <v>41.2</v>
      </c>
      <c r="AL132" s="15">
        <f>$AK132*V$102</f>
        <v>41.2</v>
      </c>
      <c r="AM132" s="15">
        <f>$AK132*W$102</f>
        <v>41.2</v>
      </c>
      <c r="AN132" s="15">
        <f>$AK132*X$102</f>
        <v>41.2</v>
      </c>
      <c r="AO132" s="15">
        <f>$AK132*Y$102</f>
        <v>41.2</v>
      </c>
      <c r="AP132" s="15">
        <f>$AK132*Z$102</f>
        <v>41.2</v>
      </c>
    </row>
    <row r="133" spans="1:42" x14ac:dyDescent="0.25">
      <c r="A133" s="22" t="s">
        <v>96</v>
      </c>
      <c r="B133">
        <f t="shared" si="13"/>
        <v>42.898884000000002</v>
      </c>
      <c r="C133">
        <f t="shared" si="14"/>
        <v>21.650881999999999</v>
      </c>
      <c r="D133">
        <f t="shared" si="15"/>
        <v>36.294905</v>
      </c>
      <c r="E133">
        <f t="shared" si="16"/>
        <v>40.180402999999998</v>
      </c>
      <c r="F133">
        <f t="shared" si="17"/>
        <v>21.650881999999999</v>
      </c>
      <c r="H133" s="22" t="s">
        <v>96</v>
      </c>
      <c r="I133" s="20">
        <f t="shared" si="18"/>
        <v>4.2898884000000005E-2</v>
      </c>
      <c r="J133" s="20">
        <f t="shared" si="19"/>
        <v>2.1650882E-2</v>
      </c>
      <c r="K133" s="20">
        <f t="shared" si="20"/>
        <v>3.6294905000000002E-2</v>
      </c>
      <c r="L133" s="20">
        <f t="shared" si="21"/>
        <v>4.0180402999999996E-2</v>
      </c>
      <c r="M133" s="20">
        <f t="shared" si="22"/>
        <v>2.1650882E-2</v>
      </c>
      <c r="AC133">
        <v>39070</v>
      </c>
      <c r="AD133" s="15" t="s">
        <v>150</v>
      </c>
      <c r="AE133" t="s">
        <v>151</v>
      </c>
      <c r="AF133">
        <v>10.3</v>
      </c>
      <c r="AG133" t="s">
        <v>131</v>
      </c>
      <c r="AH133">
        <v>1</v>
      </c>
      <c r="AI133" t="s">
        <v>158</v>
      </c>
      <c r="AJ133" t="s">
        <v>162</v>
      </c>
      <c r="AK133" s="24">
        <f t="shared" si="10"/>
        <v>10.3</v>
      </c>
      <c r="AL133" s="15">
        <f>$AK133*V$91</f>
        <v>10.3</v>
      </c>
      <c r="AM133" s="15">
        <f>$AK133*W$91</f>
        <v>0</v>
      </c>
      <c r="AN133" s="15">
        <f>$AK133*X$91</f>
        <v>10.3</v>
      </c>
      <c r="AO133" s="15">
        <f>$AK133*Y$91</f>
        <v>10.3</v>
      </c>
      <c r="AP133" s="15">
        <f>$AK133*Z$91</f>
        <v>0</v>
      </c>
    </row>
    <row r="134" spans="1:42" x14ac:dyDescent="0.25">
      <c r="A134" s="22" t="s">
        <v>97</v>
      </c>
      <c r="B134">
        <f t="shared" si="13"/>
        <v>49.353160000000003</v>
      </c>
      <c r="C134">
        <f t="shared" si="14"/>
        <v>24.405733000000001</v>
      </c>
      <c r="D134">
        <f t="shared" si="15"/>
        <v>40.453654999999998</v>
      </c>
      <c r="E134">
        <f t="shared" si="16"/>
        <v>47.378941999999995</v>
      </c>
      <c r="F134">
        <f t="shared" si="17"/>
        <v>24.405733000000001</v>
      </c>
      <c r="H134" s="22" t="s">
        <v>97</v>
      </c>
      <c r="I134" s="20">
        <f t="shared" si="18"/>
        <v>4.935316E-2</v>
      </c>
      <c r="J134" s="20">
        <f t="shared" si="19"/>
        <v>2.4405733000000002E-2</v>
      </c>
      <c r="K134" s="20">
        <f t="shared" si="20"/>
        <v>4.0453654999999998E-2</v>
      </c>
      <c r="L134" s="20">
        <f t="shared" si="21"/>
        <v>4.7378941999999993E-2</v>
      </c>
      <c r="M134" s="20">
        <f t="shared" si="22"/>
        <v>2.4405733000000002E-2</v>
      </c>
      <c r="AC134">
        <v>39070</v>
      </c>
      <c r="AD134" s="15" t="s">
        <v>150</v>
      </c>
      <c r="AE134" t="s">
        <v>151</v>
      </c>
      <c r="AF134">
        <v>75.8</v>
      </c>
      <c r="AG134" t="s">
        <v>132</v>
      </c>
      <c r="AH134">
        <v>1</v>
      </c>
      <c r="AI134" t="s">
        <v>163</v>
      </c>
      <c r="AJ134" t="s">
        <v>159</v>
      </c>
      <c r="AK134" s="24">
        <f t="shared" si="10"/>
        <v>75.8</v>
      </c>
      <c r="AL134" s="15">
        <f>$AK134*V$92</f>
        <v>75.8</v>
      </c>
      <c r="AM134" s="15">
        <f>$AK134*W$92</f>
        <v>0</v>
      </c>
      <c r="AN134" s="15">
        <f>$AK134*X$92</f>
        <v>75.8</v>
      </c>
      <c r="AO134" s="15">
        <f>$AK134*Y$92</f>
        <v>151.6</v>
      </c>
      <c r="AP134" s="15">
        <f>$AK134*Z$92</f>
        <v>0</v>
      </c>
    </row>
    <row r="135" spans="1:42" x14ac:dyDescent="0.25">
      <c r="A135" s="22" t="s">
        <v>98</v>
      </c>
      <c r="B135">
        <f t="shared" si="13"/>
        <v>51.788030000000006</v>
      </c>
      <c r="C135">
        <f t="shared" si="14"/>
        <v>26.023247999999999</v>
      </c>
      <c r="D135">
        <f t="shared" si="15"/>
        <v>48.598860999999999</v>
      </c>
      <c r="E135">
        <f t="shared" si="16"/>
        <v>44.923913000000006</v>
      </c>
      <c r="F135">
        <f t="shared" si="17"/>
        <v>26.023247999999999</v>
      </c>
      <c r="H135" s="22" t="s">
        <v>98</v>
      </c>
      <c r="I135" s="20">
        <f t="shared" si="18"/>
        <v>5.1788030000000006E-2</v>
      </c>
      <c r="J135" s="20">
        <f t="shared" si="19"/>
        <v>2.6023247999999999E-2</v>
      </c>
      <c r="K135" s="20">
        <f t="shared" si="20"/>
        <v>4.8598861E-2</v>
      </c>
      <c r="L135" s="20">
        <f t="shared" si="21"/>
        <v>4.4923913000000003E-2</v>
      </c>
      <c r="M135" s="20">
        <f t="shared" si="22"/>
        <v>2.6023247999999999E-2</v>
      </c>
      <c r="AC135">
        <v>39070</v>
      </c>
      <c r="AD135" s="15" t="s">
        <v>150</v>
      </c>
      <c r="AE135" t="s">
        <v>151</v>
      </c>
      <c r="AF135">
        <v>1.8</v>
      </c>
      <c r="AG135" t="s">
        <v>135</v>
      </c>
      <c r="AH135">
        <v>1</v>
      </c>
      <c r="AI135" t="s">
        <v>152</v>
      </c>
      <c r="AJ135" t="s">
        <v>164</v>
      </c>
      <c r="AK135" s="24">
        <f t="shared" si="10"/>
        <v>1.8</v>
      </c>
      <c r="AL135" s="15">
        <f>$AK135*V$95</f>
        <v>1.8</v>
      </c>
      <c r="AM135" s="15">
        <f>$AK135*W$95</f>
        <v>1.8</v>
      </c>
      <c r="AN135" s="15">
        <f>$AK135*X$95</f>
        <v>1.8</v>
      </c>
      <c r="AO135" s="15">
        <f>$AK135*Y$95</f>
        <v>1.8</v>
      </c>
      <c r="AP135" s="15">
        <f>$AK135*Z$95</f>
        <v>1.8</v>
      </c>
    </row>
    <row r="136" spans="1:42" x14ac:dyDescent="0.25">
      <c r="A136" s="22" t="s">
        <v>99</v>
      </c>
      <c r="B136">
        <f t="shared" si="13"/>
        <v>30.763325999999999</v>
      </c>
      <c r="C136">
        <f t="shared" si="14"/>
        <v>15.201580000000002</v>
      </c>
      <c r="D136">
        <f t="shared" si="15"/>
        <v>29.856805999999999</v>
      </c>
      <c r="E136">
        <f t="shared" si="16"/>
        <v>26.118236</v>
      </c>
      <c r="F136">
        <f t="shared" si="17"/>
        <v>15.201580000000002</v>
      </c>
      <c r="H136" s="22" t="s">
        <v>99</v>
      </c>
      <c r="I136" s="20">
        <f t="shared" si="18"/>
        <v>3.0763326000000001E-2</v>
      </c>
      <c r="J136" s="20">
        <f t="shared" si="19"/>
        <v>1.5201580000000001E-2</v>
      </c>
      <c r="K136" s="20">
        <f t="shared" si="20"/>
        <v>2.9856806E-2</v>
      </c>
      <c r="L136" s="20">
        <f t="shared" si="21"/>
        <v>2.6118236E-2</v>
      </c>
      <c r="M136" s="20">
        <f t="shared" si="22"/>
        <v>1.5201580000000001E-2</v>
      </c>
      <c r="AC136">
        <v>39070</v>
      </c>
      <c r="AD136" s="15" t="s">
        <v>150</v>
      </c>
      <c r="AE136" t="s">
        <v>151</v>
      </c>
      <c r="AF136">
        <v>379.4</v>
      </c>
      <c r="AG136" t="s">
        <v>141</v>
      </c>
      <c r="AH136">
        <v>1</v>
      </c>
      <c r="AI136" t="s">
        <v>165</v>
      </c>
      <c r="AJ136" t="s">
        <v>159</v>
      </c>
      <c r="AK136" s="24">
        <f t="shared" si="10"/>
        <v>379.4</v>
      </c>
      <c r="AL136" s="15">
        <f>$AK136*V$101</f>
        <v>379.4</v>
      </c>
      <c r="AM136" s="15">
        <f>$AK136*W$101</f>
        <v>379.4</v>
      </c>
      <c r="AN136" s="15">
        <f>$AK136*X$101</f>
        <v>379.4</v>
      </c>
      <c r="AO136" s="15">
        <f>$AK136*Y$101</f>
        <v>379.4</v>
      </c>
      <c r="AP136" s="15">
        <f>$AK136*Z$101</f>
        <v>379.4</v>
      </c>
    </row>
    <row r="137" spans="1:42" x14ac:dyDescent="0.25">
      <c r="A137" s="22" t="s">
        <v>100</v>
      </c>
      <c r="B137">
        <f t="shared" si="13"/>
        <v>19.816818000000005</v>
      </c>
      <c r="C137">
        <f t="shared" si="14"/>
        <v>9.774165</v>
      </c>
      <c r="D137">
        <f t="shared" si="15"/>
        <v>11.079439000000001</v>
      </c>
      <c r="E137">
        <f t="shared" si="16"/>
        <v>19.679487000000002</v>
      </c>
      <c r="F137">
        <f t="shared" si="17"/>
        <v>9.774165</v>
      </c>
      <c r="H137" s="22" t="s">
        <v>100</v>
      </c>
      <c r="I137" s="20">
        <f t="shared" si="18"/>
        <v>1.9816818000000003E-2</v>
      </c>
      <c r="J137" s="20">
        <f t="shared" si="19"/>
        <v>9.7741649999999996E-3</v>
      </c>
      <c r="K137" s="20">
        <f t="shared" si="20"/>
        <v>1.1079439E-2</v>
      </c>
      <c r="L137" s="20">
        <f t="shared" si="21"/>
        <v>1.9679487000000002E-2</v>
      </c>
      <c r="M137" s="20">
        <f t="shared" si="22"/>
        <v>9.7741649999999996E-3</v>
      </c>
      <c r="AC137">
        <v>39070</v>
      </c>
      <c r="AD137" s="15" t="s">
        <v>150</v>
      </c>
      <c r="AE137" t="s">
        <v>151</v>
      </c>
      <c r="AF137">
        <v>302.77</v>
      </c>
      <c r="AG137" t="s">
        <v>128</v>
      </c>
      <c r="AH137">
        <v>1</v>
      </c>
      <c r="AI137" t="s">
        <v>166</v>
      </c>
      <c r="AJ137" t="s">
        <v>167</v>
      </c>
      <c r="AK137" s="24">
        <f t="shared" si="10"/>
        <v>302.77</v>
      </c>
      <c r="AL137" s="15">
        <f>$AK137*V$88</f>
        <v>605.54</v>
      </c>
      <c r="AM137" s="15">
        <f>$AK137*W$88</f>
        <v>0</v>
      </c>
      <c r="AN137" s="15">
        <f>$AK137*X$88</f>
        <v>302.77</v>
      </c>
      <c r="AO137" s="15">
        <f>$AK137*Y$88</f>
        <v>605.54</v>
      </c>
      <c r="AP137" s="15">
        <f>$AK137*Z$88</f>
        <v>0</v>
      </c>
    </row>
    <row r="138" spans="1:42" x14ac:dyDescent="0.25">
      <c r="A138" s="22" t="s">
        <v>101</v>
      </c>
      <c r="B138">
        <f t="shared" si="13"/>
        <v>12109.994943999998</v>
      </c>
      <c r="C138">
        <f t="shared" si="14"/>
        <v>6123.9291569999996</v>
      </c>
      <c r="D138">
        <f t="shared" si="15"/>
        <v>12001.619813000003</v>
      </c>
      <c r="E138">
        <f t="shared" si="16"/>
        <v>10042.162342</v>
      </c>
      <c r="F138">
        <f t="shared" si="17"/>
        <v>6123.9291569999996</v>
      </c>
      <c r="H138" s="22" t="s">
        <v>101</v>
      </c>
      <c r="I138" s="20">
        <f t="shared" si="18"/>
        <v>12.109994943999999</v>
      </c>
      <c r="J138" s="20">
        <f t="shared" si="19"/>
        <v>6.1239291569999992</v>
      </c>
      <c r="K138" s="20">
        <f t="shared" si="20"/>
        <v>12.001619813000003</v>
      </c>
      <c r="L138" s="20">
        <f t="shared" si="21"/>
        <v>10.042162341999999</v>
      </c>
      <c r="M138" s="20">
        <f t="shared" si="22"/>
        <v>6.1239291569999992</v>
      </c>
      <c r="AC138">
        <v>39070</v>
      </c>
      <c r="AD138" s="15" t="s">
        <v>150</v>
      </c>
      <c r="AE138" t="s">
        <v>151</v>
      </c>
      <c r="AF138">
        <v>160.30000000000001</v>
      </c>
      <c r="AG138" t="s">
        <v>170</v>
      </c>
      <c r="AH138">
        <v>1</v>
      </c>
      <c r="AI138" t="s">
        <v>171</v>
      </c>
      <c r="AJ138" t="s">
        <v>162</v>
      </c>
      <c r="AK138" s="24">
        <f t="shared" si="10"/>
        <v>160.30000000000001</v>
      </c>
      <c r="AL138" s="15">
        <f>$AK138*V$90</f>
        <v>160.30000000000001</v>
      </c>
      <c r="AM138" s="15">
        <f>$AK138*W$90</f>
        <v>160.30000000000001</v>
      </c>
      <c r="AN138" s="15">
        <f>$AK138*X$90</f>
        <v>160.30000000000001</v>
      </c>
      <c r="AO138" s="15">
        <f>$AK138*Y$90</f>
        <v>160.30000000000001</v>
      </c>
      <c r="AP138" s="15">
        <f>$AK138*Z$90</f>
        <v>160.30000000000001</v>
      </c>
    </row>
    <row r="139" spans="1:42" x14ac:dyDescent="0.25">
      <c r="A139" s="22" t="s">
        <v>102</v>
      </c>
      <c r="B139">
        <f t="shared" si="13"/>
        <v>96.700780000000023</v>
      </c>
      <c r="C139">
        <f t="shared" si="14"/>
        <v>46.766869999999997</v>
      </c>
      <c r="D139">
        <f t="shared" si="15"/>
        <v>76.899239999999992</v>
      </c>
      <c r="E139">
        <f t="shared" si="16"/>
        <v>95.071680000000001</v>
      </c>
      <c r="F139">
        <f t="shared" si="17"/>
        <v>46.766869999999997</v>
      </c>
      <c r="H139" s="22" t="s">
        <v>102</v>
      </c>
      <c r="I139" s="20">
        <f t="shared" si="18"/>
        <v>9.6700780000000028E-2</v>
      </c>
      <c r="J139" s="20">
        <f t="shared" si="19"/>
        <v>4.6766869999999995E-2</v>
      </c>
      <c r="K139" s="20">
        <f t="shared" si="20"/>
        <v>7.6899239999999994E-2</v>
      </c>
      <c r="L139" s="20">
        <f t="shared" si="21"/>
        <v>9.5071680000000006E-2</v>
      </c>
      <c r="M139" s="20">
        <f t="shared" si="22"/>
        <v>4.6766869999999995E-2</v>
      </c>
      <c r="AC139">
        <v>39070</v>
      </c>
      <c r="AD139" s="15" t="s">
        <v>150</v>
      </c>
      <c r="AE139" t="s">
        <v>151</v>
      </c>
      <c r="AF139">
        <v>147.69999999999999</v>
      </c>
      <c r="AG139" t="s">
        <v>143</v>
      </c>
      <c r="AH139">
        <v>1</v>
      </c>
      <c r="AI139" t="s">
        <v>163</v>
      </c>
      <c r="AJ139" t="s">
        <v>159</v>
      </c>
      <c r="AK139" s="24">
        <f t="shared" si="10"/>
        <v>147.69999999999999</v>
      </c>
      <c r="AL139" s="15">
        <f>$AK139*V$103</f>
        <v>147.69999999999999</v>
      </c>
      <c r="AM139" s="15">
        <f>$AK139*W$103</f>
        <v>147.69999999999999</v>
      </c>
      <c r="AN139" s="15">
        <f>$AK139*X$103</f>
        <v>147.69999999999999</v>
      </c>
      <c r="AO139" s="15">
        <f>$AK139*Y$103</f>
        <v>147.69999999999999</v>
      </c>
      <c r="AP139" s="15">
        <f>$AK139*Z$103</f>
        <v>147.69999999999999</v>
      </c>
    </row>
    <row r="140" spans="1:42" x14ac:dyDescent="0.25">
      <c r="A140" s="22" t="s">
        <v>103</v>
      </c>
      <c r="B140">
        <f t="shared" si="13"/>
        <v>999.76101399999993</v>
      </c>
      <c r="C140">
        <f t="shared" si="14"/>
        <v>496.73246600000004</v>
      </c>
      <c r="D140">
        <f t="shared" si="15"/>
        <v>994.10699599999987</v>
      </c>
      <c r="E140">
        <f t="shared" si="16"/>
        <v>808.17931199999998</v>
      </c>
      <c r="F140">
        <f t="shared" si="17"/>
        <v>496.73246600000004</v>
      </c>
      <c r="H140" s="22" t="s">
        <v>103</v>
      </c>
      <c r="I140" s="20">
        <f t="shared" si="18"/>
        <v>0.99976101399999995</v>
      </c>
      <c r="J140" s="20">
        <f t="shared" si="19"/>
        <v>0.49673246600000004</v>
      </c>
      <c r="K140" s="20">
        <f t="shared" si="20"/>
        <v>0.99410699599999985</v>
      </c>
      <c r="L140" s="20">
        <f t="shared" si="21"/>
        <v>0.80817931199999993</v>
      </c>
      <c r="M140" s="20">
        <f t="shared" si="22"/>
        <v>0.49673246600000004</v>
      </c>
      <c r="AC140">
        <v>39070</v>
      </c>
      <c r="AD140" s="15" t="s">
        <v>150</v>
      </c>
      <c r="AE140" t="s">
        <v>151</v>
      </c>
      <c r="AF140">
        <v>25.8</v>
      </c>
      <c r="AG140" t="s">
        <v>140</v>
      </c>
      <c r="AH140">
        <v>1</v>
      </c>
      <c r="AI140" t="s">
        <v>165</v>
      </c>
      <c r="AJ140" t="s">
        <v>162</v>
      </c>
      <c r="AK140" s="24">
        <f t="shared" si="10"/>
        <v>25.8</v>
      </c>
      <c r="AL140" s="15">
        <f>$AK140*V$100</f>
        <v>25.8</v>
      </c>
      <c r="AM140" s="15">
        <f>$AK140*W$100</f>
        <v>25.8</v>
      </c>
      <c r="AN140" s="15">
        <f>$AK140*X$100</f>
        <v>25.8</v>
      </c>
      <c r="AO140" s="15">
        <f>$AK140*Y$100</f>
        <v>25.8</v>
      </c>
      <c r="AP140" s="15">
        <f>$AK140*Z$100</f>
        <v>25.8</v>
      </c>
    </row>
    <row r="141" spans="1:42" x14ac:dyDescent="0.25">
      <c r="A141" s="22" t="s">
        <v>104</v>
      </c>
      <c r="B141">
        <f t="shared" si="13"/>
        <v>62.653870000000005</v>
      </c>
      <c r="C141">
        <f t="shared" si="14"/>
        <v>31.148237999999999</v>
      </c>
      <c r="D141">
        <f t="shared" si="15"/>
        <v>52.988224000000002</v>
      </c>
      <c r="E141">
        <f t="shared" si="16"/>
        <v>58.979009000000005</v>
      </c>
      <c r="F141">
        <f t="shared" si="17"/>
        <v>31.148237999999999</v>
      </c>
      <c r="H141" s="22" t="s">
        <v>104</v>
      </c>
      <c r="I141" s="20">
        <f t="shared" si="18"/>
        <v>6.265387E-2</v>
      </c>
      <c r="J141" s="20">
        <f t="shared" si="19"/>
        <v>3.1148237999999998E-2</v>
      </c>
      <c r="K141" s="20">
        <f t="shared" si="20"/>
        <v>5.2988224E-2</v>
      </c>
      <c r="L141" s="20">
        <f t="shared" si="21"/>
        <v>5.8979009000000006E-2</v>
      </c>
      <c r="M141" s="20">
        <f t="shared" si="22"/>
        <v>3.1148237999999998E-2</v>
      </c>
      <c r="AC141">
        <v>39070</v>
      </c>
      <c r="AD141" s="15" t="s">
        <v>150</v>
      </c>
      <c r="AE141" t="s">
        <v>151</v>
      </c>
      <c r="AF141">
        <v>302.77</v>
      </c>
      <c r="AG141" t="s">
        <v>174</v>
      </c>
      <c r="AH141">
        <v>1</v>
      </c>
      <c r="AI141" t="s">
        <v>166</v>
      </c>
      <c r="AJ141" t="s">
        <v>167</v>
      </c>
      <c r="AK141" s="24">
        <f t="shared" si="10"/>
        <v>302.77</v>
      </c>
      <c r="AL141" s="15">
        <f>$AK141*V$89</f>
        <v>605.54</v>
      </c>
      <c r="AM141" s="15">
        <f>$AK141*W$89</f>
        <v>302.77</v>
      </c>
      <c r="AN141" s="15">
        <f>$AK141*X$89</f>
        <v>302.77</v>
      </c>
      <c r="AO141" s="15">
        <f>$AK141*Y$89</f>
        <v>605.54</v>
      </c>
      <c r="AP141" s="15">
        <f>$AK141*Z$89</f>
        <v>302.77</v>
      </c>
    </row>
    <row r="142" spans="1:42" x14ac:dyDescent="0.25">
      <c r="A142" s="22" t="s">
        <v>105</v>
      </c>
      <c r="B142">
        <f t="shared" si="13"/>
        <v>3096.6239479999999</v>
      </c>
      <c r="C142">
        <f t="shared" si="14"/>
        <v>1560.2094129999998</v>
      </c>
      <c r="D142">
        <f t="shared" si="15"/>
        <v>2429.2935699999998</v>
      </c>
      <c r="E142">
        <f t="shared" si="16"/>
        <v>3041.9426869999998</v>
      </c>
      <c r="F142">
        <f t="shared" si="17"/>
        <v>1560.2094129999998</v>
      </c>
      <c r="H142" s="22" t="s">
        <v>105</v>
      </c>
      <c r="I142" s="20">
        <f t="shared" si="18"/>
        <v>3.096623948</v>
      </c>
      <c r="J142" s="20">
        <f t="shared" si="19"/>
        <v>1.5602094129999997</v>
      </c>
      <c r="K142" s="20">
        <f t="shared" si="20"/>
        <v>2.42929357</v>
      </c>
      <c r="L142" s="20">
        <f t="shared" si="21"/>
        <v>3.0419426869999997</v>
      </c>
      <c r="M142" s="20">
        <f t="shared" si="22"/>
        <v>1.5602094129999997</v>
      </c>
      <c r="AC142">
        <v>40690</v>
      </c>
      <c r="AD142" s="15" t="s">
        <v>160</v>
      </c>
      <c r="AE142" t="s">
        <v>161</v>
      </c>
      <c r="AF142">
        <v>0.1</v>
      </c>
      <c r="AG142" t="s">
        <v>142</v>
      </c>
      <c r="AH142">
        <v>1</v>
      </c>
      <c r="AI142" t="s">
        <v>158</v>
      </c>
      <c r="AJ142" t="s">
        <v>159</v>
      </c>
      <c r="AK142" s="24">
        <f t="shared" si="10"/>
        <v>0.1</v>
      </c>
      <c r="AL142" s="15">
        <f>$AK142*V$102</f>
        <v>0.1</v>
      </c>
      <c r="AM142" s="15">
        <f>$AK142*W$102</f>
        <v>0.1</v>
      </c>
      <c r="AN142" s="15">
        <f>$AK142*X$102</f>
        <v>0.1</v>
      </c>
      <c r="AO142" s="15">
        <f>$AK142*Y$102</f>
        <v>0.1</v>
      </c>
      <c r="AP142" s="15">
        <f>$AK142*Z$102</f>
        <v>0.1</v>
      </c>
    </row>
    <row r="143" spans="1:42" x14ac:dyDescent="0.25">
      <c r="A143" s="22" t="s">
        <v>106</v>
      </c>
      <c r="B143">
        <f t="shared" si="13"/>
        <v>80.199294000000009</v>
      </c>
      <c r="C143">
        <f t="shared" si="14"/>
        <v>39.763751999999997</v>
      </c>
      <c r="D143">
        <f t="shared" si="15"/>
        <v>64.522984000000008</v>
      </c>
      <c r="E143">
        <f t="shared" si="16"/>
        <v>77.772477000000009</v>
      </c>
      <c r="F143">
        <f t="shared" si="17"/>
        <v>39.763751999999997</v>
      </c>
      <c r="H143" s="22" t="s">
        <v>106</v>
      </c>
      <c r="I143" s="20">
        <f t="shared" si="18"/>
        <v>8.0199294000000004E-2</v>
      </c>
      <c r="J143" s="20">
        <f t="shared" si="19"/>
        <v>3.9763751999999999E-2</v>
      </c>
      <c r="K143" s="20">
        <f t="shared" si="20"/>
        <v>6.4522984000000005E-2</v>
      </c>
      <c r="L143" s="20">
        <f t="shared" si="21"/>
        <v>7.7772477000000007E-2</v>
      </c>
      <c r="M143" s="20">
        <f t="shared" si="22"/>
        <v>3.9763751999999999E-2</v>
      </c>
      <c r="AC143">
        <v>40140</v>
      </c>
      <c r="AD143" s="15" t="s">
        <v>87</v>
      </c>
      <c r="AE143" t="s">
        <v>172</v>
      </c>
      <c r="AF143">
        <v>1.1100000000000001</v>
      </c>
      <c r="AG143" t="s">
        <v>133</v>
      </c>
      <c r="AH143">
        <v>1</v>
      </c>
      <c r="AI143" t="s">
        <v>158</v>
      </c>
      <c r="AJ143" t="s">
        <v>164</v>
      </c>
      <c r="AK143" s="24">
        <f t="shared" si="10"/>
        <v>1.1100000000000001</v>
      </c>
      <c r="AL143" s="15">
        <f>$AK143*V$93</f>
        <v>2.2200000000000002</v>
      </c>
      <c r="AM143" s="15">
        <f>$AK143*W$93</f>
        <v>1.1100000000000001</v>
      </c>
      <c r="AN143" s="15">
        <f>$AK143*X$93</f>
        <v>1.1100000000000001</v>
      </c>
      <c r="AO143" s="15">
        <f>$AK143*Y$93</f>
        <v>1.1100000000000001</v>
      </c>
      <c r="AP143" s="15">
        <f>$AK143*Z$93</f>
        <v>1.1100000000000001</v>
      </c>
    </row>
    <row r="144" spans="1:42" x14ac:dyDescent="0.25">
      <c r="A144" s="22" t="s">
        <v>107</v>
      </c>
      <c r="B144">
        <f t="shared" si="13"/>
        <v>83.153428000000005</v>
      </c>
      <c r="C144">
        <f t="shared" si="14"/>
        <v>41.789209</v>
      </c>
      <c r="D144">
        <f t="shared" si="15"/>
        <v>72.694001999999998</v>
      </c>
      <c r="E144">
        <f t="shared" si="16"/>
        <v>76.219701999999998</v>
      </c>
      <c r="F144">
        <f t="shared" si="17"/>
        <v>41.789209</v>
      </c>
      <c r="H144" s="22" t="s">
        <v>107</v>
      </c>
      <c r="I144" s="20">
        <f t="shared" si="18"/>
        <v>8.3153428000000001E-2</v>
      </c>
      <c r="J144" s="20">
        <f t="shared" si="19"/>
        <v>4.1789209000000001E-2</v>
      </c>
      <c r="K144" s="20">
        <f t="shared" si="20"/>
        <v>7.2694001999999994E-2</v>
      </c>
      <c r="L144" s="20">
        <f t="shared" si="21"/>
        <v>7.6219702E-2</v>
      </c>
      <c r="M144" s="20">
        <f t="shared" si="22"/>
        <v>4.1789209000000001E-2</v>
      </c>
    </row>
    <row r="145" spans="1:13" x14ac:dyDescent="0.25">
      <c r="A145" s="22" t="s">
        <v>108</v>
      </c>
      <c r="B145">
        <f t="shared" si="13"/>
        <v>21.966160000000002</v>
      </c>
      <c r="C145">
        <f t="shared" si="14"/>
        <v>10.798940000000002</v>
      </c>
      <c r="D145">
        <f t="shared" si="15"/>
        <v>12.91155</v>
      </c>
      <c r="E145">
        <f t="shared" si="16"/>
        <v>13.297979999999999</v>
      </c>
      <c r="F145">
        <f t="shared" si="17"/>
        <v>10.798940000000002</v>
      </c>
      <c r="H145" s="22" t="s">
        <v>108</v>
      </c>
      <c r="I145" s="20">
        <f t="shared" si="18"/>
        <v>2.1966160000000002E-2</v>
      </c>
      <c r="J145" s="20">
        <f t="shared" si="19"/>
        <v>1.0798940000000002E-2</v>
      </c>
      <c r="K145" s="20">
        <f t="shared" si="20"/>
        <v>1.2911550000000001E-2</v>
      </c>
      <c r="L145" s="20">
        <f t="shared" si="21"/>
        <v>1.3297979999999999E-2</v>
      </c>
      <c r="M145" s="20">
        <f t="shared" si="22"/>
        <v>1.0798940000000002E-2</v>
      </c>
    </row>
    <row r="146" spans="1:13" x14ac:dyDescent="0.25">
      <c r="A146" s="22" t="s">
        <v>109</v>
      </c>
      <c r="B146">
        <f t="shared" si="13"/>
        <v>9.2199460000000002</v>
      </c>
      <c r="C146">
        <f t="shared" si="14"/>
        <v>4.0795010000000005</v>
      </c>
      <c r="D146">
        <f t="shared" si="15"/>
        <v>7.0459769999999997</v>
      </c>
      <c r="E146">
        <f t="shared" si="16"/>
        <v>9.170894999999998</v>
      </c>
      <c r="F146">
        <f t="shared" si="17"/>
        <v>4.0795010000000005</v>
      </c>
      <c r="H146" s="22" t="s">
        <v>109</v>
      </c>
      <c r="I146" s="20">
        <f t="shared" si="18"/>
        <v>9.2199459999999997E-3</v>
      </c>
      <c r="J146" s="20">
        <f t="shared" si="19"/>
        <v>4.0795010000000001E-3</v>
      </c>
      <c r="K146" s="20">
        <f t="shared" si="20"/>
        <v>7.0459770000000001E-3</v>
      </c>
      <c r="L146" s="20">
        <f t="shared" si="21"/>
        <v>9.1708949999999984E-3</v>
      </c>
      <c r="M146" s="20">
        <f t="shared" si="22"/>
        <v>4.0795010000000001E-3</v>
      </c>
    </row>
    <row r="147" spans="1:13" x14ac:dyDescent="0.25">
      <c r="A147" s="22" t="s">
        <v>110</v>
      </c>
      <c r="B147">
        <f t="shared" si="13"/>
        <v>0.53371800000000014</v>
      </c>
      <c r="C147">
        <f t="shared" si="14"/>
        <v>0.24846000000000004</v>
      </c>
      <c r="D147">
        <f t="shared" si="15"/>
        <v>0.46286599999999994</v>
      </c>
      <c r="E147">
        <f t="shared" si="16"/>
        <v>0.500251</v>
      </c>
      <c r="F147">
        <f t="shared" si="17"/>
        <v>0.24846000000000004</v>
      </c>
      <c r="H147" s="22" t="s">
        <v>110</v>
      </c>
      <c r="I147" s="20">
        <f t="shared" si="18"/>
        <v>5.3371800000000008E-4</v>
      </c>
      <c r="J147" s="20">
        <f t="shared" si="19"/>
        <v>2.4846000000000004E-4</v>
      </c>
      <c r="K147" s="20">
        <f t="shared" si="20"/>
        <v>4.6286599999999993E-4</v>
      </c>
      <c r="L147" s="20">
        <f t="shared" si="21"/>
        <v>5.0025099999999995E-4</v>
      </c>
      <c r="M147" s="20">
        <f t="shared" si="22"/>
        <v>2.4846000000000004E-4</v>
      </c>
    </row>
    <row r="148" spans="1:13" x14ac:dyDescent="0.25">
      <c r="A148" s="22" t="s">
        <v>111</v>
      </c>
      <c r="B148">
        <f t="shared" si="13"/>
        <v>5.9425460000000001</v>
      </c>
      <c r="C148">
        <f t="shared" si="14"/>
        <v>2.7109870000000007</v>
      </c>
      <c r="D148">
        <f t="shared" si="15"/>
        <v>5.5943060000000004</v>
      </c>
      <c r="E148">
        <f t="shared" si="16"/>
        <v>5.4472449999999997</v>
      </c>
      <c r="F148">
        <f t="shared" si="17"/>
        <v>2.7109870000000007</v>
      </c>
      <c r="H148" s="22" t="s">
        <v>111</v>
      </c>
      <c r="I148" s="20">
        <f t="shared" si="18"/>
        <v>5.9425459999999999E-3</v>
      </c>
      <c r="J148" s="20">
        <f t="shared" si="19"/>
        <v>2.7109870000000006E-3</v>
      </c>
      <c r="K148" s="20">
        <f t="shared" si="20"/>
        <v>5.5943060000000003E-3</v>
      </c>
      <c r="L148" s="20">
        <f t="shared" si="21"/>
        <v>5.4472449999999999E-3</v>
      </c>
      <c r="M148" s="20">
        <f t="shared" si="22"/>
        <v>2.7109870000000006E-3</v>
      </c>
    </row>
    <row r="149" spans="1:13" x14ac:dyDescent="0.25">
      <c r="A149" s="22" t="s">
        <v>112</v>
      </c>
      <c r="B149">
        <f t="shared" si="13"/>
        <v>2407.1608500000002</v>
      </c>
      <c r="C149">
        <f t="shared" si="14"/>
        <v>1188.6116509999999</v>
      </c>
      <c r="D149">
        <f t="shared" si="15"/>
        <v>1843.0882789999998</v>
      </c>
      <c r="E149">
        <f t="shared" si="16"/>
        <v>2407.2433389999997</v>
      </c>
      <c r="F149">
        <f t="shared" si="17"/>
        <v>1188.6116509999999</v>
      </c>
      <c r="H149" s="22" t="s">
        <v>112</v>
      </c>
      <c r="I149" s="20">
        <f t="shared" si="18"/>
        <v>2.4071608500000004</v>
      </c>
      <c r="J149" s="20">
        <f t="shared" si="19"/>
        <v>1.188611651</v>
      </c>
      <c r="K149" s="20">
        <f t="shared" si="20"/>
        <v>1.8430882789999998</v>
      </c>
      <c r="L149" s="20">
        <f t="shared" si="21"/>
        <v>2.4072433389999999</v>
      </c>
      <c r="M149" s="20">
        <f t="shared" si="22"/>
        <v>1.188611651</v>
      </c>
    </row>
    <row r="150" spans="1:13" x14ac:dyDescent="0.25">
      <c r="A150" s="22" t="s">
        <v>113</v>
      </c>
      <c r="B150">
        <f t="shared" si="13"/>
        <v>4.2105020000000009</v>
      </c>
      <c r="C150">
        <f t="shared" si="14"/>
        <v>2.0433529999999998</v>
      </c>
      <c r="D150">
        <f t="shared" si="15"/>
        <v>3.391543</v>
      </c>
      <c r="E150">
        <f t="shared" si="16"/>
        <v>4.0961230000000004</v>
      </c>
      <c r="F150">
        <f t="shared" si="17"/>
        <v>2.0433529999999998</v>
      </c>
      <c r="H150" s="22" t="s">
        <v>113</v>
      </c>
      <c r="I150" s="20">
        <f t="shared" si="18"/>
        <v>4.2105020000000005E-3</v>
      </c>
      <c r="J150" s="20">
        <f t="shared" si="19"/>
        <v>2.0433529999999999E-3</v>
      </c>
      <c r="K150" s="20">
        <f t="shared" si="20"/>
        <v>3.3915429999999999E-3</v>
      </c>
      <c r="L150" s="20">
        <f t="shared" si="21"/>
        <v>4.0961230000000001E-3</v>
      </c>
      <c r="M150" s="20">
        <f t="shared" si="22"/>
        <v>2.0433529999999999E-3</v>
      </c>
    </row>
    <row r="151" spans="1:13" x14ac:dyDescent="0.25">
      <c r="A151" s="22" t="s">
        <v>114</v>
      </c>
      <c r="B151">
        <f t="shared" si="13"/>
        <v>53891.302990000011</v>
      </c>
      <c r="C151">
        <f t="shared" si="14"/>
        <v>26492.982240000001</v>
      </c>
      <c r="D151">
        <f t="shared" si="15"/>
        <v>40658.018380000001</v>
      </c>
      <c r="E151">
        <f t="shared" si="16"/>
        <v>54929.780489999997</v>
      </c>
      <c r="F151">
        <f t="shared" si="17"/>
        <v>26492.982240000001</v>
      </c>
      <c r="H151" s="22" t="s">
        <v>114</v>
      </c>
      <c r="I151" s="20">
        <f t="shared" si="18"/>
        <v>53.891302990000014</v>
      </c>
      <c r="J151" s="20">
        <f t="shared" si="19"/>
        <v>26.49298224</v>
      </c>
      <c r="K151" s="20">
        <f t="shared" si="20"/>
        <v>40.658018380000001</v>
      </c>
      <c r="L151" s="20">
        <f t="shared" si="21"/>
        <v>54.929780489999999</v>
      </c>
      <c r="M151" s="20">
        <f t="shared" si="22"/>
        <v>26.49298224</v>
      </c>
    </row>
    <row r="152" spans="1:13" x14ac:dyDescent="0.25">
      <c r="A152" s="22" t="s">
        <v>115</v>
      </c>
      <c r="B152">
        <f t="shared" si="13"/>
        <v>144050.92621399998</v>
      </c>
      <c r="C152">
        <f t="shared" si="14"/>
        <v>72793.525102999993</v>
      </c>
      <c r="D152">
        <f t="shared" si="15"/>
        <v>141769.554531</v>
      </c>
      <c r="E152">
        <f t="shared" si="16"/>
        <v>119826.77549100001</v>
      </c>
      <c r="F152">
        <f t="shared" si="17"/>
        <v>72793.525102999993</v>
      </c>
      <c r="H152" s="22" t="s">
        <v>115</v>
      </c>
      <c r="I152" s="20">
        <f t="shared" si="18"/>
        <v>144.05092621399999</v>
      </c>
      <c r="J152" s="20">
        <f t="shared" si="19"/>
        <v>72.793525102999993</v>
      </c>
      <c r="K152" s="20">
        <f t="shared" si="20"/>
        <v>141.76955453100001</v>
      </c>
      <c r="L152" s="20">
        <f t="shared" si="21"/>
        <v>119.82677549100001</v>
      </c>
      <c r="M152" s="20">
        <f t="shared" si="22"/>
        <v>72.793525102999993</v>
      </c>
    </row>
    <row r="153" spans="1:13" x14ac:dyDescent="0.25">
      <c r="A153" s="22" t="s">
        <v>116</v>
      </c>
      <c r="B153">
        <f t="shared" si="13"/>
        <v>983.53359000000012</v>
      </c>
      <c r="C153">
        <f t="shared" si="14"/>
        <v>497.50248999999997</v>
      </c>
      <c r="D153">
        <f t="shared" si="15"/>
        <v>699.27041999999994</v>
      </c>
      <c r="E153">
        <f t="shared" si="16"/>
        <v>1018.907658</v>
      </c>
      <c r="F153">
        <f t="shared" si="17"/>
        <v>497.50248999999997</v>
      </c>
      <c r="H153" s="22" t="s">
        <v>116</v>
      </c>
      <c r="I153" s="20">
        <f t="shared" si="18"/>
        <v>0.98353359000000007</v>
      </c>
      <c r="J153" s="20">
        <f t="shared" si="19"/>
        <v>0.49750248999999996</v>
      </c>
      <c r="K153" s="20">
        <f t="shared" si="20"/>
        <v>0.69927041999999995</v>
      </c>
      <c r="L153" s="20">
        <f t="shared" si="21"/>
        <v>1.018907658</v>
      </c>
      <c r="M153" s="20">
        <f t="shared" si="22"/>
        <v>0.49750248999999996</v>
      </c>
    </row>
    <row r="154" spans="1:13" x14ac:dyDescent="0.25">
      <c r="A154" s="22" t="s">
        <v>117</v>
      </c>
      <c r="B154">
        <f t="shared" si="13"/>
        <v>9.6338660000000012</v>
      </c>
      <c r="C154">
        <f t="shared" si="14"/>
        <v>4.8186520000000002</v>
      </c>
      <c r="D154">
        <f t="shared" si="15"/>
        <v>7.7455439999999989</v>
      </c>
      <c r="E154">
        <f t="shared" si="16"/>
        <v>9.3239699999999992</v>
      </c>
      <c r="F154">
        <f t="shared" si="17"/>
        <v>4.8186520000000002</v>
      </c>
      <c r="H154" s="22" t="s">
        <v>117</v>
      </c>
      <c r="I154" s="20">
        <f t="shared" si="18"/>
        <v>9.6338660000000013E-3</v>
      </c>
      <c r="J154" s="20">
        <f t="shared" si="19"/>
        <v>4.8186520000000005E-3</v>
      </c>
      <c r="K154" s="20">
        <f t="shared" si="20"/>
        <v>7.7455439999999992E-3</v>
      </c>
      <c r="L154" s="20">
        <f t="shared" si="21"/>
        <v>9.3239699999999991E-3</v>
      </c>
      <c r="M154" s="20">
        <f t="shared" si="22"/>
        <v>4.8186520000000005E-3</v>
      </c>
    </row>
    <row r="155" spans="1:13" x14ac:dyDescent="0.25">
      <c r="A155" s="22" t="s">
        <v>118</v>
      </c>
      <c r="B155">
        <f t="shared" si="13"/>
        <v>2.712618</v>
      </c>
      <c r="C155">
        <f t="shared" si="14"/>
        <v>1.2642390000000001</v>
      </c>
      <c r="D155">
        <f t="shared" si="15"/>
        <v>2.3551389999999994</v>
      </c>
      <c r="E155">
        <f t="shared" si="16"/>
        <v>2.5345159999999995</v>
      </c>
      <c r="F155">
        <f t="shared" si="17"/>
        <v>1.2642390000000001</v>
      </c>
      <c r="H155" s="22" t="s">
        <v>118</v>
      </c>
      <c r="I155" s="20">
        <f t="shared" si="18"/>
        <v>2.712618E-3</v>
      </c>
      <c r="J155" s="20">
        <f t="shared" si="19"/>
        <v>1.2642390000000001E-3</v>
      </c>
      <c r="K155" s="20">
        <f t="shared" si="20"/>
        <v>2.3551389999999996E-3</v>
      </c>
      <c r="L155" s="20">
        <f t="shared" si="21"/>
        <v>2.5345159999999997E-3</v>
      </c>
      <c r="M155" s="20">
        <f t="shared" si="22"/>
        <v>1.2642390000000001E-3</v>
      </c>
    </row>
    <row r="156" spans="1:13" x14ac:dyDescent="0.25">
      <c r="A156" s="22" t="s">
        <v>119</v>
      </c>
      <c r="B156">
        <f t="shared" si="13"/>
        <v>31.288426000000001</v>
      </c>
      <c r="C156">
        <f t="shared" si="14"/>
        <v>15.431708</v>
      </c>
      <c r="D156">
        <f t="shared" si="15"/>
        <v>26.631962000000001</v>
      </c>
      <c r="E156">
        <f t="shared" si="16"/>
        <v>29.117579999999997</v>
      </c>
      <c r="F156">
        <f t="shared" si="17"/>
        <v>15.431708</v>
      </c>
      <c r="H156" s="22" t="s">
        <v>119</v>
      </c>
      <c r="I156" s="20">
        <f t="shared" si="18"/>
        <v>3.1288426000000001E-2</v>
      </c>
      <c r="J156" s="20">
        <f t="shared" si="19"/>
        <v>1.5431708000000001E-2</v>
      </c>
      <c r="K156" s="20">
        <f t="shared" si="20"/>
        <v>2.6631962000000002E-2</v>
      </c>
      <c r="L156" s="20">
        <f t="shared" si="21"/>
        <v>2.9117579999999997E-2</v>
      </c>
      <c r="M156" s="20">
        <f t="shared" si="22"/>
        <v>1.5431708000000001E-2</v>
      </c>
    </row>
    <row r="157" spans="1:13" x14ac:dyDescent="0.25">
      <c r="A157" s="22" t="s">
        <v>120</v>
      </c>
      <c r="B157">
        <f t="shared" si="13"/>
        <v>144.23616200000001</v>
      </c>
      <c r="C157">
        <f t="shared" si="14"/>
        <v>72.424602000000007</v>
      </c>
      <c r="D157">
        <f t="shared" si="15"/>
        <v>91.281883000000008</v>
      </c>
      <c r="E157">
        <f t="shared" si="16"/>
        <v>118.780456</v>
      </c>
      <c r="F157">
        <f t="shared" si="17"/>
        <v>72.424602000000007</v>
      </c>
      <c r="H157" s="22" t="s">
        <v>120</v>
      </c>
      <c r="I157" s="20">
        <f t="shared" si="18"/>
        <v>0.144236162</v>
      </c>
      <c r="J157" s="20">
        <f t="shared" si="19"/>
        <v>7.2424602000000005E-2</v>
      </c>
      <c r="K157" s="20">
        <f t="shared" si="20"/>
        <v>9.1281883000000008E-2</v>
      </c>
      <c r="L157" s="20">
        <f t="shared" si="21"/>
        <v>0.11878045600000001</v>
      </c>
      <c r="M157" s="20">
        <f t="shared" si="22"/>
        <v>7.2424602000000005E-2</v>
      </c>
    </row>
    <row r="158" spans="1:13" x14ac:dyDescent="0.25">
      <c r="A158" s="22" t="s">
        <v>121</v>
      </c>
      <c r="B158">
        <f t="shared" si="13"/>
        <v>2048.9499500000002</v>
      </c>
      <c r="C158">
        <f t="shared" si="14"/>
        <v>1030.785785</v>
      </c>
      <c r="D158">
        <f t="shared" si="15"/>
        <v>1277.7634999999998</v>
      </c>
      <c r="E158">
        <f t="shared" si="16"/>
        <v>1668.3960979999999</v>
      </c>
      <c r="F158">
        <f t="shared" si="17"/>
        <v>1030.785785</v>
      </c>
      <c r="H158" s="22" t="s">
        <v>121</v>
      </c>
      <c r="I158" s="20">
        <f t="shared" si="18"/>
        <v>2.0489499500000004</v>
      </c>
      <c r="J158" s="20">
        <f t="shared" si="19"/>
        <v>1.030785785</v>
      </c>
      <c r="K158" s="20">
        <f t="shared" si="20"/>
        <v>1.2777634999999998</v>
      </c>
      <c r="L158" s="20">
        <f t="shared" si="21"/>
        <v>1.6683960979999999</v>
      </c>
      <c r="M158" s="20">
        <f t="shared" si="22"/>
        <v>1.030785785</v>
      </c>
    </row>
    <row r="161" spans="1:10" x14ac:dyDescent="0.25">
      <c r="A161" s="25" t="s">
        <v>193</v>
      </c>
    </row>
    <row r="162" spans="1:10" x14ac:dyDescent="0.25">
      <c r="A162" s="22"/>
      <c r="B162" s="15" t="s">
        <v>186</v>
      </c>
      <c r="C162" s="15" t="s">
        <v>187</v>
      </c>
      <c r="D162" s="15" t="s">
        <v>188</v>
      </c>
      <c r="E162" s="15" t="s">
        <v>189</v>
      </c>
      <c r="F162" s="15" t="s">
        <v>190</v>
      </c>
      <c r="I162">
        <v>1400</v>
      </c>
      <c r="J162" t="s">
        <v>198</v>
      </c>
    </row>
    <row r="163" spans="1:10" x14ac:dyDescent="0.25">
      <c r="A163" s="22" t="s">
        <v>91</v>
      </c>
      <c r="B163" s="31">
        <f>I128/$E$53</f>
        <v>9.5522323272727284E-4</v>
      </c>
      <c r="C163" s="31">
        <f>J128/$E$52</f>
        <v>4.6644386562499999E-4</v>
      </c>
      <c r="D163" s="31">
        <f>K128/AVERAGE($E$52:$E$53)</f>
        <v>8.0603015938461521E-4</v>
      </c>
      <c r="E163" s="31">
        <f>L128/$I$163</f>
        <v>1.0753658096551723E-3</v>
      </c>
      <c r="F163" s="31">
        <f>M128/$I$162</f>
        <v>5.3307870357142853E-4</v>
      </c>
      <c r="I163">
        <v>1450</v>
      </c>
      <c r="J163" t="s">
        <v>199</v>
      </c>
    </row>
    <row r="164" spans="1:10" x14ac:dyDescent="0.25">
      <c r="A164" s="22" t="s">
        <v>92</v>
      </c>
      <c r="B164" s="31">
        <f t="shared" ref="B164:B193" si="23">I129/$E$53</f>
        <v>1.806835806060606E-4</v>
      </c>
      <c r="C164" s="31">
        <f t="shared" ref="C164:C193" si="24">J129/$E$52</f>
        <v>9.2429758749999996E-5</v>
      </c>
      <c r="D164" s="31">
        <f t="shared" ref="D164:D193" si="25">K129/AVERAGE($E$52:$E$53)</f>
        <v>1.3713072553846151E-4</v>
      </c>
      <c r="E164" s="31">
        <f t="shared" ref="E164:E193" si="26">L129/$I$163</f>
        <v>2.100497510344827E-4</v>
      </c>
      <c r="F164" s="31">
        <f t="shared" ref="F164:F193" si="27">M129/$I$162</f>
        <v>1.0563401E-4</v>
      </c>
    </row>
    <row r="165" spans="1:10" x14ac:dyDescent="0.25">
      <c r="A165" s="22" t="s">
        <v>93</v>
      </c>
      <c r="B165" s="31">
        <f t="shared" si="23"/>
        <v>3.4754484848484851E-6</v>
      </c>
      <c r="C165" s="31">
        <f t="shared" si="24"/>
        <v>1.6208218750000003E-6</v>
      </c>
      <c r="D165" s="31">
        <f t="shared" si="25"/>
        <v>3.2636123076923078E-6</v>
      </c>
      <c r="E165" s="31">
        <f t="shared" si="26"/>
        <v>3.7087758620689653E-6</v>
      </c>
      <c r="F165" s="31">
        <f t="shared" si="27"/>
        <v>1.8523678571428576E-6</v>
      </c>
    </row>
    <row r="166" spans="1:10" x14ac:dyDescent="0.25">
      <c r="A166" s="22" t="s">
        <v>94</v>
      </c>
      <c r="B166" s="31">
        <f t="shared" si="23"/>
        <v>2.2186894545454543E-5</v>
      </c>
      <c r="C166" s="31">
        <f t="shared" si="24"/>
        <v>1.0946236874999999E-5</v>
      </c>
      <c r="D166" s="31">
        <f t="shared" si="25"/>
        <v>1.7291667692307691E-5</v>
      </c>
      <c r="E166" s="31">
        <f t="shared" si="26"/>
        <v>2.535607172413793E-5</v>
      </c>
      <c r="F166" s="31">
        <f t="shared" si="27"/>
        <v>1.2509984999999999E-5</v>
      </c>
    </row>
    <row r="167" spans="1:10" x14ac:dyDescent="0.25">
      <c r="A167" s="22" t="s">
        <v>95</v>
      </c>
      <c r="B167" s="31">
        <f t="shared" si="23"/>
        <v>3.7368655309090908E-3</v>
      </c>
      <c r="C167" s="31">
        <f t="shared" si="24"/>
        <v>1.9480804406249998E-3</v>
      </c>
      <c r="D167" s="31">
        <f t="shared" si="25"/>
        <v>3.7194523667692311E-3</v>
      </c>
      <c r="E167" s="31">
        <f t="shared" si="26"/>
        <v>3.5618020703448274E-3</v>
      </c>
      <c r="F167" s="31">
        <f t="shared" si="27"/>
        <v>2.2263776464285711E-3</v>
      </c>
    </row>
    <row r="168" spans="1:10" x14ac:dyDescent="0.25">
      <c r="A168" s="22" t="s">
        <v>96</v>
      </c>
      <c r="B168" s="31">
        <f t="shared" si="23"/>
        <v>2.5999323636363639E-5</v>
      </c>
      <c r="C168" s="31">
        <f t="shared" si="24"/>
        <v>1.353180125E-5</v>
      </c>
      <c r="D168" s="31">
        <f t="shared" si="25"/>
        <v>2.2335326153846154E-5</v>
      </c>
      <c r="E168" s="31">
        <f t="shared" si="26"/>
        <v>2.7710622758620687E-5</v>
      </c>
      <c r="F168" s="31">
        <f t="shared" si="27"/>
        <v>1.5464915714285713E-5</v>
      </c>
    </row>
    <row r="169" spans="1:10" x14ac:dyDescent="0.25">
      <c r="A169" s="22" t="s">
        <v>97</v>
      </c>
      <c r="B169" s="31">
        <f t="shared" si="23"/>
        <v>2.991100606060606E-5</v>
      </c>
      <c r="C169" s="31">
        <f t="shared" si="24"/>
        <v>1.5253583125000002E-5</v>
      </c>
      <c r="D169" s="31">
        <f t="shared" si="25"/>
        <v>2.4894556923076923E-5</v>
      </c>
      <c r="E169" s="31">
        <f t="shared" si="26"/>
        <v>3.26751324137931E-5</v>
      </c>
      <c r="F169" s="31">
        <f t="shared" si="27"/>
        <v>1.7432666428571431E-5</v>
      </c>
    </row>
    <row r="170" spans="1:10" x14ac:dyDescent="0.25">
      <c r="A170" s="22" t="s">
        <v>98</v>
      </c>
      <c r="B170" s="31">
        <f t="shared" si="23"/>
        <v>3.1386684848484855E-5</v>
      </c>
      <c r="C170" s="31">
        <f t="shared" si="24"/>
        <v>1.6264529999999999E-5</v>
      </c>
      <c r="D170" s="31">
        <f t="shared" si="25"/>
        <v>2.9906991384615383E-5</v>
      </c>
      <c r="E170" s="31">
        <f t="shared" si="26"/>
        <v>3.0982008965517242E-5</v>
      </c>
      <c r="F170" s="31">
        <f t="shared" si="27"/>
        <v>1.8588034285714285E-5</v>
      </c>
    </row>
    <row r="171" spans="1:10" x14ac:dyDescent="0.25">
      <c r="A171" s="22" t="s">
        <v>99</v>
      </c>
      <c r="B171" s="31">
        <f t="shared" si="23"/>
        <v>1.864444E-5</v>
      </c>
      <c r="C171" s="31">
        <f t="shared" si="24"/>
        <v>9.5009875000000001E-6</v>
      </c>
      <c r="D171" s="31">
        <f t="shared" si="25"/>
        <v>1.8373419076923078E-5</v>
      </c>
      <c r="E171" s="31">
        <f t="shared" si="26"/>
        <v>1.8012576551724138E-5</v>
      </c>
      <c r="F171" s="31">
        <f t="shared" si="27"/>
        <v>1.0858271428571429E-5</v>
      </c>
    </row>
    <row r="172" spans="1:10" x14ac:dyDescent="0.25">
      <c r="A172" s="22" t="s">
        <v>100</v>
      </c>
      <c r="B172" s="31">
        <f t="shared" si="23"/>
        <v>1.201019272727273E-5</v>
      </c>
      <c r="C172" s="31">
        <f t="shared" si="24"/>
        <v>6.1088531249999993E-6</v>
      </c>
      <c r="D172" s="31">
        <f t="shared" si="25"/>
        <v>6.8181163076923079E-6</v>
      </c>
      <c r="E172" s="31">
        <f t="shared" si="26"/>
        <v>1.3572060000000002E-5</v>
      </c>
      <c r="F172" s="31">
        <f t="shared" si="27"/>
        <v>6.9815464285714282E-6</v>
      </c>
    </row>
    <row r="173" spans="1:10" x14ac:dyDescent="0.25">
      <c r="A173" s="22" t="s">
        <v>101</v>
      </c>
      <c r="B173" s="31">
        <f t="shared" si="23"/>
        <v>7.3393908751515141E-3</v>
      </c>
      <c r="C173" s="31">
        <f t="shared" si="24"/>
        <v>3.8274557231249996E-3</v>
      </c>
      <c r="D173" s="31">
        <f t="shared" si="25"/>
        <v>7.3856121926153869E-3</v>
      </c>
      <c r="E173" s="31">
        <f t="shared" si="26"/>
        <v>6.9256292013793099E-3</v>
      </c>
      <c r="F173" s="31">
        <f t="shared" si="27"/>
        <v>4.3742351121428564E-3</v>
      </c>
    </row>
    <row r="174" spans="1:10" x14ac:dyDescent="0.25">
      <c r="A174" s="22" t="s">
        <v>102</v>
      </c>
      <c r="B174" s="31">
        <f t="shared" si="23"/>
        <v>5.8606533333333349E-5</v>
      </c>
      <c r="C174" s="31">
        <f t="shared" si="24"/>
        <v>2.9229293749999996E-5</v>
      </c>
      <c r="D174" s="31">
        <f t="shared" si="25"/>
        <v>4.7322609230769225E-5</v>
      </c>
      <c r="E174" s="31">
        <f t="shared" si="26"/>
        <v>6.5566675862068963E-5</v>
      </c>
      <c r="F174" s="31">
        <f t="shared" si="27"/>
        <v>3.3404907142857136E-5</v>
      </c>
    </row>
    <row r="175" spans="1:10" x14ac:dyDescent="0.25">
      <c r="A175" s="22" t="s">
        <v>103</v>
      </c>
      <c r="B175" s="31">
        <f t="shared" si="23"/>
        <v>6.0591576606060607E-4</v>
      </c>
      <c r="C175" s="31">
        <f t="shared" si="24"/>
        <v>3.1045779125000002E-4</v>
      </c>
      <c r="D175" s="31">
        <f t="shared" si="25"/>
        <v>6.1175815138461525E-4</v>
      </c>
      <c r="E175" s="31">
        <f t="shared" si="26"/>
        <v>5.5736504275862063E-4</v>
      </c>
      <c r="F175" s="31">
        <f t="shared" si="27"/>
        <v>3.5480890428571431E-4</v>
      </c>
    </row>
    <row r="176" spans="1:10" x14ac:dyDescent="0.25">
      <c r="A176" s="22" t="s">
        <v>104</v>
      </c>
      <c r="B176" s="31">
        <f t="shared" si="23"/>
        <v>3.7972042424242425E-5</v>
      </c>
      <c r="C176" s="31">
        <f t="shared" si="24"/>
        <v>1.9467648749999998E-5</v>
      </c>
      <c r="D176" s="31">
        <f t="shared" si="25"/>
        <v>3.2608137846153847E-5</v>
      </c>
      <c r="E176" s="31">
        <f t="shared" si="26"/>
        <v>4.0675178620689657E-5</v>
      </c>
      <c r="F176" s="31">
        <f t="shared" si="27"/>
        <v>2.2248741428571429E-5</v>
      </c>
    </row>
    <row r="177" spans="1:6" x14ac:dyDescent="0.25">
      <c r="A177" s="22" t="s">
        <v>105</v>
      </c>
      <c r="B177" s="31">
        <f t="shared" si="23"/>
        <v>1.8767417866666666E-3</v>
      </c>
      <c r="C177" s="31">
        <f t="shared" si="24"/>
        <v>9.7513088312499983E-4</v>
      </c>
      <c r="D177" s="31">
        <f t="shared" si="25"/>
        <v>1.4949498892307693E-3</v>
      </c>
      <c r="E177" s="31">
        <f t="shared" si="26"/>
        <v>2.0978915082758617E-3</v>
      </c>
      <c r="F177" s="31">
        <f t="shared" si="27"/>
        <v>1.1144352949999999E-3</v>
      </c>
    </row>
    <row r="178" spans="1:6" x14ac:dyDescent="0.25">
      <c r="A178" s="22" t="s">
        <v>106</v>
      </c>
      <c r="B178" s="31">
        <f t="shared" si="23"/>
        <v>4.8605632727272729E-5</v>
      </c>
      <c r="C178" s="31">
        <f t="shared" si="24"/>
        <v>2.4852344999999999E-5</v>
      </c>
      <c r="D178" s="31">
        <f t="shared" si="25"/>
        <v>3.9706451692307698E-5</v>
      </c>
      <c r="E178" s="31">
        <f t="shared" si="26"/>
        <v>5.3636191034482761E-5</v>
      </c>
      <c r="F178" s="31">
        <f t="shared" si="27"/>
        <v>2.840268E-5</v>
      </c>
    </row>
    <row r="179" spans="1:6" x14ac:dyDescent="0.25">
      <c r="A179" s="22" t="s">
        <v>107</v>
      </c>
      <c r="B179" s="31">
        <f t="shared" si="23"/>
        <v>5.0396016969696973E-5</v>
      </c>
      <c r="C179" s="31">
        <f t="shared" si="24"/>
        <v>2.6118255625000001E-5</v>
      </c>
      <c r="D179" s="31">
        <f t="shared" si="25"/>
        <v>4.4734770461538456E-5</v>
      </c>
      <c r="E179" s="31">
        <f t="shared" si="26"/>
        <v>5.2565311724137933E-5</v>
      </c>
      <c r="F179" s="31">
        <f t="shared" si="27"/>
        <v>2.9849435000000002E-5</v>
      </c>
    </row>
    <row r="180" spans="1:6" x14ac:dyDescent="0.25">
      <c r="A180" s="22" t="s">
        <v>108</v>
      </c>
      <c r="B180" s="31">
        <f t="shared" si="23"/>
        <v>1.3312824242424244E-5</v>
      </c>
      <c r="C180" s="31">
        <f t="shared" si="24"/>
        <v>6.7493375000000008E-6</v>
      </c>
      <c r="D180" s="31">
        <f t="shared" si="25"/>
        <v>7.9455692307692315E-6</v>
      </c>
      <c r="E180" s="31">
        <f t="shared" si="26"/>
        <v>9.1710206896551714E-6</v>
      </c>
      <c r="F180" s="31">
        <f t="shared" si="27"/>
        <v>7.7135285714285719E-6</v>
      </c>
    </row>
    <row r="181" spans="1:6" x14ac:dyDescent="0.25">
      <c r="A181" s="22" t="s">
        <v>109</v>
      </c>
      <c r="B181" s="31">
        <f t="shared" si="23"/>
        <v>5.5878460606060604E-6</v>
      </c>
      <c r="C181" s="31">
        <f t="shared" si="24"/>
        <v>2.5496881249999999E-6</v>
      </c>
      <c r="D181" s="31">
        <f t="shared" si="25"/>
        <v>4.3359858461538459E-6</v>
      </c>
      <c r="E181" s="31">
        <f t="shared" si="26"/>
        <v>6.3247551724137921E-6</v>
      </c>
      <c r="F181" s="31">
        <f t="shared" si="27"/>
        <v>2.9139292857142859E-6</v>
      </c>
    </row>
    <row r="182" spans="1:6" x14ac:dyDescent="0.25">
      <c r="A182" s="22" t="s">
        <v>110</v>
      </c>
      <c r="B182" s="31">
        <f t="shared" si="23"/>
        <v>3.2346545454545459E-7</v>
      </c>
      <c r="C182" s="31">
        <f t="shared" si="24"/>
        <v>1.5528750000000002E-7</v>
      </c>
      <c r="D182" s="31">
        <f t="shared" si="25"/>
        <v>2.8484061538461533E-7</v>
      </c>
      <c r="E182" s="31">
        <f t="shared" si="26"/>
        <v>3.450006896551724E-7</v>
      </c>
      <c r="F182" s="31">
        <f t="shared" si="27"/>
        <v>1.774714285714286E-7</v>
      </c>
    </row>
    <row r="183" spans="1:6" x14ac:dyDescent="0.25">
      <c r="A183" s="22" t="s">
        <v>111</v>
      </c>
      <c r="B183" s="31">
        <f t="shared" si="23"/>
        <v>3.6015430303030305E-6</v>
      </c>
      <c r="C183" s="31">
        <f t="shared" si="24"/>
        <v>1.6943668750000005E-6</v>
      </c>
      <c r="D183" s="31">
        <f t="shared" si="25"/>
        <v>3.4426498461538462E-6</v>
      </c>
      <c r="E183" s="31">
        <f t="shared" si="26"/>
        <v>3.7567206896551723E-6</v>
      </c>
      <c r="F183" s="31">
        <f t="shared" si="27"/>
        <v>1.9364192857142861E-6</v>
      </c>
    </row>
    <row r="184" spans="1:6" x14ac:dyDescent="0.25">
      <c r="A184" s="22" t="s">
        <v>112</v>
      </c>
      <c r="B184" s="31">
        <f t="shared" si="23"/>
        <v>1.4588853636363639E-3</v>
      </c>
      <c r="C184" s="31">
        <f t="shared" si="24"/>
        <v>7.4288228187499995E-4</v>
      </c>
      <c r="D184" s="31">
        <f t="shared" si="25"/>
        <v>1.1342081716923076E-3</v>
      </c>
      <c r="E184" s="31">
        <f t="shared" si="26"/>
        <v>1.6601678199999999E-3</v>
      </c>
      <c r="F184" s="31">
        <f t="shared" si="27"/>
        <v>8.4900832214285715E-4</v>
      </c>
    </row>
    <row r="185" spans="1:6" x14ac:dyDescent="0.25">
      <c r="A185" s="22" t="s">
        <v>113</v>
      </c>
      <c r="B185" s="31">
        <f t="shared" si="23"/>
        <v>2.5518193939393941E-6</v>
      </c>
      <c r="C185" s="31">
        <f t="shared" si="24"/>
        <v>1.2770956249999999E-6</v>
      </c>
      <c r="D185" s="31">
        <f t="shared" si="25"/>
        <v>2.0871033846153846E-6</v>
      </c>
      <c r="E185" s="31">
        <f t="shared" si="26"/>
        <v>2.8249124137931035E-6</v>
      </c>
      <c r="F185" s="31">
        <f t="shared" si="27"/>
        <v>1.4595378571428571E-6</v>
      </c>
    </row>
    <row r="186" spans="1:6" x14ac:dyDescent="0.25">
      <c r="A186" s="22" t="s">
        <v>114</v>
      </c>
      <c r="B186" s="31">
        <f t="shared" si="23"/>
        <v>3.2661395751515158E-2</v>
      </c>
      <c r="C186" s="31">
        <f t="shared" si="24"/>
        <v>1.6558113900000001E-2</v>
      </c>
      <c r="D186" s="31">
        <f t="shared" si="25"/>
        <v>2.5020319003076923E-2</v>
      </c>
      <c r="E186" s="31">
        <f t="shared" si="26"/>
        <v>3.7882607234482758E-2</v>
      </c>
      <c r="F186" s="31">
        <f t="shared" si="27"/>
        <v>1.8923558742857144E-2</v>
      </c>
    </row>
    <row r="187" spans="1:6" x14ac:dyDescent="0.25">
      <c r="A187" s="22" t="s">
        <v>115</v>
      </c>
      <c r="B187" s="31">
        <f t="shared" si="23"/>
        <v>8.730359164484848E-2</v>
      </c>
      <c r="C187" s="31">
        <f t="shared" si="24"/>
        <v>4.5495953189374994E-2</v>
      </c>
      <c r="D187" s="31">
        <f t="shared" si="25"/>
        <v>8.7242802788307705E-2</v>
      </c>
      <c r="E187" s="31">
        <f t="shared" si="26"/>
        <v>8.2639155511034484E-2</v>
      </c>
      <c r="F187" s="31">
        <f t="shared" si="27"/>
        <v>5.1995375073571423E-2</v>
      </c>
    </row>
    <row r="188" spans="1:6" x14ac:dyDescent="0.25">
      <c r="A188" s="22" t="s">
        <v>116</v>
      </c>
      <c r="B188" s="31">
        <f t="shared" si="23"/>
        <v>5.9608096363636366E-4</v>
      </c>
      <c r="C188" s="31">
        <f t="shared" si="24"/>
        <v>3.1093905624999998E-4</v>
      </c>
      <c r="D188" s="31">
        <f t="shared" si="25"/>
        <v>4.3032025846153845E-4</v>
      </c>
      <c r="E188" s="31">
        <f t="shared" si="26"/>
        <v>7.0269493655172421E-4</v>
      </c>
      <c r="F188" s="31">
        <f t="shared" si="27"/>
        <v>3.5535892142857142E-4</v>
      </c>
    </row>
    <row r="189" spans="1:6" x14ac:dyDescent="0.25">
      <c r="A189" s="22" t="s">
        <v>117</v>
      </c>
      <c r="B189" s="31">
        <f t="shared" si="23"/>
        <v>5.8387066666666674E-6</v>
      </c>
      <c r="C189" s="31">
        <f t="shared" si="24"/>
        <v>3.0116575000000003E-6</v>
      </c>
      <c r="D189" s="31">
        <f t="shared" si="25"/>
        <v>4.7664886153846147E-6</v>
      </c>
      <c r="E189" s="31">
        <f t="shared" si="26"/>
        <v>6.4303241379310339E-6</v>
      </c>
      <c r="F189" s="31">
        <f t="shared" si="27"/>
        <v>3.4418942857142859E-6</v>
      </c>
    </row>
    <row r="190" spans="1:6" x14ac:dyDescent="0.25">
      <c r="A190" s="22" t="s">
        <v>118</v>
      </c>
      <c r="B190" s="31">
        <f t="shared" si="23"/>
        <v>1.644010909090909E-6</v>
      </c>
      <c r="C190" s="31">
        <f t="shared" si="24"/>
        <v>7.9014937500000003E-7</v>
      </c>
      <c r="D190" s="31">
        <f t="shared" si="25"/>
        <v>1.4493163076923074E-6</v>
      </c>
      <c r="E190" s="31">
        <f t="shared" si="26"/>
        <v>1.7479420689655169E-6</v>
      </c>
      <c r="F190" s="31">
        <f t="shared" si="27"/>
        <v>9.030278571428572E-7</v>
      </c>
    </row>
    <row r="191" spans="1:6" x14ac:dyDescent="0.25">
      <c r="A191" s="22" t="s">
        <v>119</v>
      </c>
      <c r="B191" s="31">
        <f t="shared" si="23"/>
        <v>1.8962682424242426E-5</v>
      </c>
      <c r="C191" s="31">
        <f t="shared" si="24"/>
        <v>9.6448175000000008E-6</v>
      </c>
      <c r="D191" s="31">
        <f t="shared" si="25"/>
        <v>1.6388899692307694E-5</v>
      </c>
      <c r="E191" s="31">
        <f t="shared" si="26"/>
        <v>2.0081089655172412E-5</v>
      </c>
      <c r="F191" s="31">
        <f t="shared" si="27"/>
        <v>1.1022648571428572E-5</v>
      </c>
    </row>
    <row r="192" spans="1:6" x14ac:dyDescent="0.25">
      <c r="A192" s="22" t="s">
        <v>120</v>
      </c>
      <c r="B192" s="31">
        <f t="shared" si="23"/>
        <v>8.7415855757575753E-5</v>
      </c>
      <c r="C192" s="31">
        <f t="shared" si="24"/>
        <v>4.5265376250000002E-5</v>
      </c>
      <c r="D192" s="31">
        <f t="shared" si="25"/>
        <v>5.6173466461538468E-5</v>
      </c>
      <c r="E192" s="31">
        <f t="shared" si="26"/>
        <v>8.1917555862068975E-5</v>
      </c>
      <c r="F192" s="31">
        <f t="shared" si="27"/>
        <v>5.1731858571428576E-5</v>
      </c>
    </row>
    <row r="193" spans="1:22" x14ac:dyDescent="0.25">
      <c r="A193" s="22" t="s">
        <v>121</v>
      </c>
      <c r="B193" s="31">
        <f t="shared" si="23"/>
        <v>1.2417878484848486E-3</v>
      </c>
      <c r="C193" s="31">
        <f t="shared" si="24"/>
        <v>6.4424111562499996E-4</v>
      </c>
      <c r="D193" s="31">
        <f t="shared" si="25"/>
        <v>7.863159999999999E-4</v>
      </c>
      <c r="E193" s="31">
        <f t="shared" si="26"/>
        <v>1.1506179986206897E-3</v>
      </c>
      <c r="F193" s="31">
        <f t="shared" si="27"/>
        <v>7.3627556071428565E-4</v>
      </c>
    </row>
    <row r="196" spans="1:22" x14ac:dyDescent="0.25">
      <c r="A196" s="5" t="s">
        <v>200</v>
      </c>
      <c r="B196" s="5"/>
      <c r="C196" s="5"/>
      <c r="D196" s="5"/>
      <c r="E196" s="5"/>
      <c r="F196" s="5"/>
      <c r="G196" s="5"/>
      <c r="H196" s="5"/>
      <c r="I196" s="5"/>
      <c r="J196" s="5"/>
      <c r="K196" s="5"/>
      <c r="L196" s="5"/>
      <c r="M196" s="5"/>
      <c r="N196" s="5"/>
    </row>
    <row r="197" spans="1:22" x14ac:dyDescent="0.25">
      <c r="A197" s="29" t="s">
        <v>201</v>
      </c>
      <c r="B197" s="5"/>
      <c r="C197" s="5"/>
      <c r="D197" s="5"/>
      <c r="E197" s="5"/>
      <c r="F197" s="5"/>
      <c r="G197" s="5"/>
      <c r="H197" s="5"/>
      <c r="I197" s="5"/>
      <c r="J197" s="5"/>
      <c r="K197" s="5"/>
      <c r="L197" s="5"/>
      <c r="M197" s="5"/>
      <c r="N197" s="5"/>
    </row>
    <row r="198" spans="1:22" x14ac:dyDescent="0.25">
      <c r="A198" s="18" t="s">
        <v>202</v>
      </c>
    </row>
    <row r="199" spans="1:22" x14ac:dyDescent="0.25">
      <c r="A199" t="s">
        <v>212</v>
      </c>
      <c r="L199" t="s">
        <v>467</v>
      </c>
      <c r="V199" t="s">
        <v>469</v>
      </c>
    </row>
    <row r="200" spans="1:22" x14ac:dyDescent="0.25">
      <c r="L200" t="s">
        <v>468</v>
      </c>
      <c r="V200" t="s">
        <v>470</v>
      </c>
    </row>
    <row r="201" spans="1:22" x14ac:dyDescent="0.25">
      <c r="B201" t="s">
        <v>203</v>
      </c>
      <c r="C201" t="s">
        <v>204</v>
      </c>
    </row>
    <row r="202" spans="1:22" x14ac:dyDescent="0.25">
      <c r="A202" t="s">
        <v>18</v>
      </c>
      <c r="B202">
        <v>5.1600000000000001E-5</v>
      </c>
    </row>
    <row r="203" spans="1:22" x14ac:dyDescent="0.25">
      <c r="A203" t="s">
        <v>26</v>
      </c>
      <c r="B203">
        <v>3.8E-3</v>
      </c>
      <c r="V203" t="s">
        <v>471</v>
      </c>
    </row>
    <row r="204" spans="1:22" x14ac:dyDescent="0.25">
      <c r="A204" t="s">
        <v>0</v>
      </c>
      <c r="B204">
        <v>0.19835</v>
      </c>
      <c r="C204">
        <v>0.48104999999999998</v>
      </c>
    </row>
    <row r="207" spans="1:22" x14ac:dyDescent="0.25">
      <c r="B207" t="s">
        <v>465</v>
      </c>
      <c r="C207" t="s">
        <v>466</v>
      </c>
    </row>
    <row r="208" spans="1:22" x14ac:dyDescent="0.25">
      <c r="A208" t="s">
        <v>18</v>
      </c>
      <c r="B208" s="13">
        <f>B202*73/G245</f>
        <v>7.1071698113207539E-5</v>
      </c>
    </row>
    <row r="209" spans="1:14" x14ac:dyDescent="0.25">
      <c r="A209" t="s">
        <v>26</v>
      </c>
      <c r="B209" s="13">
        <f>B203*73/G245</f>
        <v>5.2339622641509433E-3</v>
      </c>
    </row>
    <row r="210" spans="1:14" x14ac:dyDescent="0.25">
      <c r="B210" s="13">
        <f>B204*73/G245</f>
        <v>0.27319905660377358</v>
      </c>
      <c r="C210">
        <f>C204*50</f>
        <v>24.052499999999998</v>
      </c>
    </row>
    <row r="213" spans="1:14" x14ac:dyDescent="0.25">
      <c r="A213" s="6" t="s">
        <v>205</v>
      </c>
      <c r="B213" s="6"/>
      <c r="C213" s="6"/>
      <c r="D213" s="6"/>
      <c r="E213" s="6"/>
      <c r="F213" s="6"/>
      <c r="G213" s="6"/>
      <c r="H213" s="6"/>
      <c r="I213" s="6"/>
      <c r="J213" s="6"/>
      <c r="K213" s="6"/>
      <c r="L213" s="6"/>
      <c r="M213" s="6"/>
      <c r="N213" s="6"/>
    </row>
    <row r="214" spans="1:14" x14ac:dyDescent="0.25">
      <c r="A214" s="30" t="s">
        <v>206</v>
      </c>
      <c r="B214" s="6"/>
      <c r="C214" s="6"/>
      <c r="D214" s="6"/>
      <c r="E214" s="6"/>
      <c r="F214" s="6"/>
      <c r="G214" s="6"/>
      <c r="H214" s="6"/>
      <c r="I214" s="6"/>
      <c r="J214" s="6"/>
      <c r="K214" s="6"/>
      <c r="L214" s="6"/>
      <c r="M214" s="6"/>
      <c r="N214" s="6"/>
    </row>
    <row r="215" spans="1:14" x14ac:dyDescent="0.25">
      <c r="A215" s="18" t="s">
        <v>207</v>
      </c>
      <c r="F215" t="s">
        <v>208</v>
      </c>
    </row>
    <row r="218" spans="1:14" x14ac:dyDescent="0.25">
      <c r="A218" s="6" t="s">
        <v>209</v>
      </c>
      <c r="B218" s="6"/>
      <c r="C218" s="6"/>
      <c r="D218" s="6"/>
      <c r="E218" s="6"/>
      <c r="F218" s="6"/>
      <c r="G218" s="6"/>
      <c r="H218" s="6"/>
      <c r="I218" s="6"/>
      <c r="J218" s="6"/>
      <c r="K218" s="6"/>
      <c r="L218" s="6"/>
      <c r="M218" s="6"/>
      <c r="N218" s="6"/>
    </row>
    <row r="219" spans="1:14" x14ac:dyDescent="0.25">
      <c r="A219" s="30" t="s">
        <v>210</v>
      </c>
      <c r="B219" s="6"/>
      <c r="C219" s="6"/>
      <c r="D219" s="6"/>
      <c r="E219" s="6"/>
      <c r="F219" s="6"/>
      <c r="G219" s="6"/>
      <c r="H219" s="6"/>
      <c r="I219" s="6"/>
      <c r="J219" s="6"/>
      <c r="K219" s="6"/>
      <c r="L219" s="6"/>
      <c r="M219" s="6"/>
      <c r="N219" s="6"/>
    </row>
    <row r="220" spans="1:14" x14ac:dyDescent="0.25">
      <c r="A220" s="18" t="s">
        <v>211</v>
      </c>
    </row>
    <row r="221" spans="1:14" x14ac:dyDescent="0.25">
      <c r="A221" t="s">
        <v>476</v>
      </c>
    </row>
    <row r="222" spans="1:14" x14ac:dyDescent="0.25">
      <c r="A222" t="s">
        <v>212</v>
      </c>
    </row>
    <row r="224" spans="1:14" x14ac:dyDescent="0.25">
      <c r="B224" t="s">
        <v>213</v>
      </c>
      <c r="C224" t="s">
        <v>215</v>
      </c>
      <c r="D224" t="s">
        <v>214</v>
      </c>
      <c r="E224" t="s">
        <v>216</v>
      </c>
    </row>
    <row r="225" spans="1:14" x14ac:dyDescent="0.25">
      <c r="A225" t="s">
        <v>18</v>
      </c>
      <c r="B225">
        <f>1.06/1000</f>
        <v>1.06E-3</v>
      </c>
      <c r="C225">
        <f>2.29/1000</f>
        <v>2.2899999999999999E-3</v>
      </c>
      <c r="D225">
        <v>0</v>
      </c>
      <c r="E225">
        <v>0</v>
      </c>
    </row>
    <row r="226" spans="1:14" x14ac:dyDescent="0.25">
      <c r="A226" t="s">
        <v>26</v>
      </c>
      <c r="B226">
        <f>3.43/1000</f>
        <v>3.4300000000000003E-3</v>
      </c>
      <c r="C226">
        <f>0.71/1000</f>
        <v>7.0999999999999991E-4</v>
      </c>
      <c r="D226">
        <v>0</v>
      </c>
      <c r="E226">
        <v>0</v>
      </c>
    </row>
    <row r="227" spans="1:14" x14ac:dyDescent="0.25">
      <c r="A227" t="s">
        <v>0</v>
      </c>
      <c r="B227">
        <f>90/1000</f>
        <v>0.09</v>
      </c>
      <c r="C227">
        <f>90/1000</f>
        <v>0.09</v>
      </c>
      <c r="D227">
        <f>(182+168)/1000</f>
        <v>0.35</v>
      </c>
      <c r="E227">
        <f>D227</f>
        <v>0.35</v>
      </c>
    </row>
    <row r="230" spans="1:14" x14ac:dyDescent="0.25">
      <c r="A230" s="6" t="s">
        <v>218</v>
      </c>
      <c r="B230" s="6"/>
      <c r="C230" s="6"/>
      <c r="D230" s="6"/>
      <c r="E230" s="6"/>
      <c r="F230" s="6"/>
      <c r="G230" s="6"/>
      <c r="H230" s="6"/>
      <c r="I230" s="6"/>
      <c r="J230" s="6"/>
      <c r="K230" s="6"/>
      <c r="L230" s="6"/>
      <c r="M230" s="6"/>
      <c r="N230" s="6"/>
    </row>
    <row r="231" spans="1:14" x14ac:dyDescent="0.25">
      <c r="A231" s="30" t="s">
        <v>217</v>
      </c>
      <c r="B231" s="6"/>
      <c r="C231" s="6"/>
      <c r="D231" s="6"/>
      <c r="E231" s="6"/>
      <c r="F231" s="6"/>
      <c r="G231" s="6"/>
      <c r="H231" s="6"/>
      <c r="I231" s="6"/>
      <c r="J231" s="6"/>
      <c r="K231" s="6"/>
      <c r="L231" s="6"/>
      <c r="M231" s="6"/>
      <c r="N231" s="6"/>
    </row>
    <row r="232" spans="1:14" x14ac:dyDescent="0.25">
      <c r="A232" s="18" t="s">
        <v>219</v>
      </c>
    </row>
    <row r="234" spans="1:14" x14ac:dyDescent="0.25">
      <c r="A234" t="s">
        <v>473</v>
      </c>
    </row>
    <row r="242" spans="1:14" x14ac:dyDescent="0.25">
      <c r="A242" s="5" t="s">
        <v>220</v>
      </c>
      <c r="B242" s="5"/>
      <c r="C242" s="5"/>
      <c r="D242" s="5"/>
      <c r="E242" s="5"/>
      <c r="F242" s="5"/>
      <c r="G242" s="5"/>
      <c r="H242" s="5"/>
      <c r="I242" s="5"/>
      <c r="J242" s="5"/>
      <c r="K242" s="5"/>
      <c r="L242" s="5"/>
      <c r="M242" s="5"/>
      <c r="N242" s="5"/>
    </row>
    <row r="243" spans="1:14" x14ac:dyDescent="0.25">
      <c r="A243" s="29" t="s">
        <v>221</v>
      </c>
      <c r="B243" s="5"/>
      <c r="C243" s="5"/>
      <c r="D243" s="5"/>
      <c r="E243" s="5"/>
      <c r="F243" s="5"/>
      <c r="G243" s="5"/>
      <c r="H243" s="5"/>
      <c r="I243" s="5"/>
      <c r="J243" s="5"/>
      <c r="K243" s="5"/>
      <c r="L243" s="5"/>
      <c r="M243" s="5"/>
      <c r="N243" s="5"/>
    </row>
    <row r="244" spans="1:14" x14ac:dyDescent="0.25">
      <c r="A244" s="18" t="s">
        <v>223</v>
      </c>
    </row>
    <row r="245" spans="1:14" x14ac:dyDescent="0.25">
      <c r="A245" t="s">
        <v>222</v>
      </c>
      <c r="F245" t="s">
        <v>226</v>
      </c>
      <c r="G245">
        <v>53</v>
      </c>
      <c r="H245" t="s">
        <v>227</v>
      </c>
    </row>
    <row r="247" spans="1:14" x14ac:dyDescent="0.25">
      <c r="B247" t="s">
        <v>224</v>
      </c>
      <c r="C247" t="s">
        <v>228</v>
      </c>
      <c r="D247" t="s">
        <v>225</v>
      </c>
    </row>
    <row r="248" spans="1:14" x14ac:dyDescent="0.25">
      <c r="A248" t="s">
        <v>18</v>
      </c>
      <c r="B248">
        <f>2*5.5/100</f>
        <v>0.11</v>
      </c>
      <c r="C248">
        <f>B248/G245</f>
        <v>2.0754716981132076E-3</v>
      </c>
      <c r="D248">
        <f>B248/E54</f>
        <v>5.5000000000000002E-5</v>
      </c>
    </row>
    <row r="249" spans="1:14" x14ac:dyDescent="0.25">
      <c r="A249" t="s">
        <v>26</v>
      </c>
      <c r="B249">
        <f>2*0.31</f>
        <v>0.62</v>
      </c>
      <c r="C249">
        <f>B249/G245</f>
        <v>1.169811320754717E-2</v>
      </c>
      <c r="D249">
        <f>B249/E54</f>
        <v>3.1E-4</v>
      </c>
    </row>
    <row r="255" spans="1:14" x14ac:dyDescent="0.25">
      <c r="A255" s="5" t="s">
        <v>229</v>
      </c>
      <c r="B255" s="5"/>
      <c r="C255" s="5"/>
      <c r="D255" s="5"/>
      <c r="E255" s="5"/>
      <c r="F255" s="5"/>
      <c r="G255" s="5"/>
      <c r="H255" s="5"/>
      <c r="I255" s="5"/>
      <c r="J255" s="5"/>
      <c r="K255" s="5"/>
      <c r="L255" s="5"/>
      <c r="M255" s="5"/>
      <c r="N255" s="5"/>
    </row>
    <row r="256" spans="1:14" x14ac:dyDescent="0.25">
      <c r="A256" s="29" t="s">
        <v>230</v>
      </c>
      <c r="B256" s="5"/>
      <c r="C256" s="5"/>
      <c r="D256" s="5"/>
      <c r="E256" s="5"/>
      <c r="F256" s="5"/>
      <c r="G256" s="5"/>
      <c r="H256" s="5"/>
      <c r="I256" s="5"/>
      <c r="J256" s="5"/>
      <c r="K256" s="5"/>
      <c r="L256" s="5"/>
      <c r="M256" s="5"/>
      <c r="N256" s="5"/>
    </row>
    <row r="257" spans="1:6" x14ac:dyDescent="0.25">
      <c r="A257" s="18" t="s">
        <v>231</v>
      </c>
    </row>
    <row r="258" spans="1:6" x14ac:dyDescent="0.25">
      <c r="A258" t="s">
        <v>232</v>
      </c>
    </row>
    <row r="260" spans="1:6" x14ac:dyDescent="0.25">
      <c r="A260" t="s">
        <v>227</v>
      </c>
      <c r="E260" t="s">
        <v>86</v>
      </c>
    </row>
    <row r="261" spans="1:6" x14ac:dyDescent="0.25">
      <c r="A261" s="15" t="s">
        <v>16</v>
      </c>
      <c r="B261" s="15" t="s">
        <v>233</v>
      </c>
      <c r="C261" s="15" t="s">
        <v>234</v>
      </c>
      <c r="D261" s="15"/>
      <c r="E261" s="15" t="s">
        <v>76</v>
      </c>
      <c r="F261" s="15" t="s">
        <v>247</v>
      </c>
    </row>
    <row r="262" spans="1:6" x14ac:dyDescent="0.25">
      <c r="A262" t="s">
        <v>235</v>
      </c>
      <c r="B262">
        <v>34.799999999999997</v>
      </c>
      <c r="C262">
        <v>23.1</v>
      </c>
      <c r="E262" t="s">
        <v>244</v>
      </c>
      <c r="F262" s="19">
        <v>0.67</v>
      </c>
    </row>
    <row r="263" spans="1:6" x14ac:dyDescent="0.25">
      <c r="A263" t="s">
        <v>236</v>
      </c>
      <c r="B263">
        <v>14.1</v>
      </c>
      <c r="C263">
        <v>4.7</v>
      </c>
      <c r="E263" t="s">
        <v>245</v>
      </c>
      <c r="F263" s="19">
        <v>0.01</v>
      </c>
    </row>
    <row r="264" spans="1:6" x14ac:dyDescent="0.25">
      <c r="A264" t="s">
        <v>86</v>
      </c>
      <c r="B264">
        <v>2.1</v>
      </c>
      <c r="C264">
        <v>1.4</v>
      </c>
      <c r="E264" t="s">
        <v>246</v>
      </c>
      <c r="F264" s="19">
        <v>0.02</v>
      </c>
    </row>
    <row r="265" spans="1:6" x14ac:dyDescent="0.25">
      <c r="A265" t="s">
        <v>237</v>
      </c>
      <c r="B265">
        <v>3</v>
      </c>
      <c r="C265">
        <v>0</v>
      </c>
      <c r="E265" t="s">
        <v>26</v>
      </c>
      <c r="F265" s="19">
        <v>0.2</v>
      </c>
    </row>
    <row r="266" spans="1:6" x14ac:dyDescent="0.25">
      <c r="A266" t="s">
        <v>0</v>
      </c>
      <c r="B266">
        <v>8.5</v>
      </c>
      <c r="C266">
        <v>6.4</v>
      </c>
      <c r="E266" t="s">
        <v>18</v>
      </c>
      <c r="F266" s="19">
        <v>0.1</v>
      </c>
    </row>
    <row r="267" spans="1:6" x14ac:dyDescent="0.25">
      <c r="A267" t="s">
        <v>238</v>
      </c>
      <c r="B267">
        <v>0</v>
      </c>
      <c r="C267">
        <v>0.6</v>
      </c>
    </row>
    <row r="268" spans="1:6" x14ac:dyDescent="0.25">
      <c r="A268" t="s">
        <v>239</v>
      </c>
      <c r="B268">
        <v>0</v>
      </c>
      <c r="C268">
        <v>0.1</v>
      </c>
    </row>
    <row r="269" spans="1:6" x14ac:dyDescent="0.25">
      <c r="A269" t="s">
        <v>240</v>
      </c>
      <c r="B269">
        <v>0</v>
      </c>
      <c r="C269">
        <v>7.7</v>
      </c>
    </row>
    <row r="270" spans="1:6" x14ac:dyDescent="0.25">
      <c r="A270" t="s">
        <v>241</v>
      </c>
      <c r="B270">
        <f>SUM(B262:B269)</f>
        <v>62.5</v>
      </c>
      <c r="C270">
        <f>SUM(C262:C269)</f>
        <v>44.000000000000007</v>
      </c>
    </row>
    <row r="272" spans="1:6" x14ac:dyDescent="0.25">
      <c r="B272" t="s">
        <v>248</v>
      </c>
      <c r="C272" t="s">
        <v>249</v>
      </c>
    </row>
    <row r="273" spans="1:14" x14ac:dyDescent="0.25">
      <c r="B273" s="15" t="s">
        <v>242</v>
      </c>
      <c r="C273" s="15" t="s">
        <v>243</v>
      </c>
    </row>
    <row r="274" spans="1:14" x14ac:dyDescent="0.25">
      <c r="A274" s="15" t="s">
        <v>235</v>
      </c>
      <c r="B274" s="15">
        <f>B262/$B$270</f>
        <v>0.55679999999999996</v>
      </c>
      <c r="C274" s="15">
        <f>C262/$C$270</f>
        <v>0.52499999999999991</v>
      </c>
    </row>
    <row r="275" spans="1:14" x14ac:dyDescent="0.25">
      <c r="A275" s="15" t="s">
        <v>236</v>
      </c>
      <c r="B275" s="15">
        <f>B263/$B$270</f>
        <v>0.22559999999999999</v>
      </c>
      <c r="C275" s="15">
        <f>C263/$C$270</f>
        <v>0.1068181818181818</v>
      </c>
    </row>
    <row r="276" spans="1:14" x14ac:dyDescent="0.25">
      <c r="A276" s="15" t="s">
        <v>237</v>
      </c>
      <c r="B276" s="15">
        <f>(B265+F262*B264)/$B$270</f>
        <v>7.0512000000000005E-2</v>
      </c>
      <c r="C276" s="15">
        <f>(C265+F262*C264)/$C$270</f>
        <v>2.1318181818181813E-2</v>
      </c>
    </row>
    <row r="277" spans="1:14" x14ac:dyDescent="0.25">
      <c r="A277" s="15" t="s">
        <v>0</v>
      </c>
      <c r="B277" s="15">
        <f>B266/$B$270</f>
        <v>0.13600000000000001</v>
      </c>
      <c r="C277" s="15">
        <f>C266/$C$270</f>
        <v>0.14545454545454545</v>
      </c>
    </row>
    <row r="278" spans="1:14" x14ac:dyDescent="0.25">
      <c r="A278" s="15" t="s">
        <v>238</v>
      </c>
      <c r="B278" s="15">
        <f>B267/$B$270</f>
        <v>0</v>
      </c>
      <c r="C278" s="15">
        <f>C267/$C$270</f>
        <v>1.3636363636363634E-2</v>
      </c>
    </row>
    <row r="279" spans="1:14" x14ac:dyDescent="0.25">
      <c r="A279" s="15" t="s">
        <v>239</v>
      </c>
      <c r="B279" s="15">
        <f>B268/$B$270</f>
        <v>0</v>
      </c>
      <c r="C279" s="15">
        <f>C268/$C$270</f>
        <v>2.2727272727272726E-3</v>
      </c>
    </row>
    <row r="280" spans="1:14" x14ac:dyDescent="0.25">
      <c r="A280" s="15" t="s">
        <v>240</v>
      </c>
      <c r="B280" s="15">
        <f>B269/$B$270</f>
        <v>0</v>
      </c>
      <c r="C280" s="15">
        <f>C269/$C$270</f>
        <v>0.17499999999999999</v>
      </c>
    </row>
    <row r="281" spans="1:14" x14ac:dyDescent="0.25">
      <c r="A281" s="15" t="s">
        <v>245</v>
      </c>
      <c r="B281" s="15">
        <f>B$264*$F263/B$270</f>
        <v>3.3600000000000004E-4</v>
      </c>
      <c r="C281" s="15">
        <f>C$264*$F263/C$270</f>
        <v>3.1818181818181809E-4</v>
      </c>
    </row>
    <row r="282" spans="1:14" x14ac:dyDescent="0.25">
      <c r="A282" s="15" t="s">
        <v>246</v>
      </c>
      <c r="B282" s="15">
        <f t="shared" ref="B282:C284" si="28">B$264*$F264/B$270</f>
        <v>6.7200000000000007E-4</v>
      </c>
      <c r="C282" s="15">
        <f t="shared" si="28"/>
        <v>6.3636363636363619E-4</v>
      </c>
    </row>
    <row r="283" spans="1:14" x14ac:dyDescent="0.25">
      <c r="A283" s="15" t="s">
        <v>26</v>
      </c>
      <c r="B283" s="15">
        <f t="shared" si="28"/>
        <v>6.7200000000000003E-3</v>
      </c>
      <c r="C283" s="15">
        <f t="shared" si="28"/>
        <v>6.3636363636363621E-3</v>
      </c>
    </row>
    <row r="284" spans="1:14" x14ac:dyDescent="0.25">
      <c r="A284" s="15" t="s">
        <v>18</v>
      </c>
      <c r="B284" s="15">
        <f t="shared" si="28"/>
        <v>3.3600000000000001E-3</v>
      </c>
      <c r="C284" s="15">
        <f t="shared" si="28"/>
        <v>3.1818181818181811E-3</v>
      </c>
    </row>
    <row r="286" spans="1:14" x14ac:dyDescent="0.25">
      <c r="B286" s="32"/>
      <c r="C286" s="32"/>
    </row>
    <row r="287" spans="1:14" x14ac:dyDescent="0.25">
      <c r="A287" s="5" t="s">
        <v>250</v>
      </c>
      <c r="B287" s="5"/>
      <c r="C287" s="5"/>
      <c r="D287" s="5"/>
      <c r="E287" s="5"/>
      <c r="F287" s="5"/>
      <c r="G287" s="5"/>
      <c r="H287" s="5"/>
      <c r="I287" s="5"/>
      <c r="J287" s="5"/>
      <c r="K287" s="5"/>
      <c r="L287" s="5"/>
      <c r="M287" s="5"/>
      <c r="N287" s="5"/>
    </row>
    <row r="288" spans="1:14" x14ac:dyDescent="0.25">
      <c r="A288" s="29" t="s">
        <v>251</v>
      </c>
      <c r="B288" s="5"/>
      <c r="C288" s="5"/>
      <c r="D288" s="5"/>
      <c r="E288" s="5"/>
      <c r="F288" s="5"/>
      <c r="G288" s="5"/>
      <c r="H288" s="5"/>
      <c r="I288" s="5"/>
      <c r="J288" s="5"/>
      <c r="K288" s="5"/>
      <c r="L288" s="5"/>
      <c r="M288" s="5"/>
      <c r="N288" s="5"/>
    </row>
    <row r="289" spans="1:3" x14ac:dyDescent="0.25">
      <c r="A289" s="18" t="s">
        <v>253</v>
      </c>
    </row>
    <row r="290" spans="1:3" x14ac:dyDescent="0.25">
      <c r="A290" t="s">
        <v>254</v>
      </c>
    </row>
    <row r="291" spans="1:3" x14ac:dyDescent="0.25">
      <c r="A291" t="s">
        <v>252</v>
      </c>
    </row>
    <row r="294" spans="1:3" x14ac:dyDescent="0.25">
      <c r="A294" t="s">
        <v>16</v>
      </c>
      <c r="B294" t="s">
        <v>255</v>
      </c>
      <c r="C294" t="s">
        <v>228</v>
      </c>
    </row>
    <row r="295" spans="1:3" x14ac:dyDescent="0.25">
      <c r="A295" t="s">
        <v>256</v>
      </c>
      <c r="B295">
        <v>107</v>
      </c>
      <c r="C295" s="20">
        <f>B295/B$304</f>
        <v>0.71333333333333337</v>
      </c>
    </row>
    <row r="296" spans="1:3" x14ac:dyDescent="0.25">
      <c r="A296" t="s">
        <v>257</v>
      </c>
      <c r="B296">
        <v>10</v>
      </c>
      <c r="C296" s="20">
        <f t="shared" ref="C296:C303" si="29">B296/B$304</f>
        <v>6.6666666666666666E-2</v>
      </c>
    </row>
    <row r="297" spans="1:3" x14ac:dyDescent="0.25">
      <c r="A297" t="s">
        <v>236</v>
      </c>
      <c r="B297">
        <v>16</v>
      </c>
      <c r="C297" s="20">
        <f t="shared" si="29"/>
        <v>0.10666666666666667</v>
      </c>
    </row>
    <row r="298" spans="1:3" x14ac:dyDescent="0.25">
      <c r="A298" t="s">
        <v>0</v>
      </c>
      <c r="B298">
        <v>10</v>
      </c>
      <c r="C298" s="20">
        <f t="shared" si="29"/>
        <v>6.6666666666666666E-2</v>
      </c>
    </row>
    <row r="299" spans="1:3" x14ac:dyDescent="0.25">
      <c r="A299" t="s">
        <v>258</v>
      </c>
      <c r="B299">
        <v>0.5</v>
      </c>
      <c r="C299" s="20">
        <f t="shared" si="29"/>
        <v>3.3333333333333335E-3</v>
      </c>
    </row>
    <row r="300" spans="1:3" x14ac:dyDescent="0.25">
      <c r="A300" t="s">
        <v>259</v>
      </c>
      <c r="B300">
        <v>2</v>
      </c>
      <c r="C300" s="20">
        <f t="shared" si="29"/>
        <v>1.3333333333333334E-2</v>
      </c>
    </row>
    <row r="301" spans="1:3" x14ac:dyDescent="0.25">
      <c r="A301" t="s">
        <v>260</v>
      </c>
      <c r="B301">
        <v>1.5</v>
      </c>
      <c r="C301" s="20">
        <f t="shared" si="29"/>
        <v>0.01</v>
      </c>
    </row>
    <row r="302" spans="1:3" x14ac:dyDescent="0.25">
      <c r="A302" t="s">
        <v>261</v>
      </c>
      <c r="B302">
        <v>0.5</v>
      </c>
      <c r="C302" s="20">
        <f t="shared" si="29"/>
        <v>3.3333333333333335E-3</v>
      </c>
    </row>
    <row r="303" spans="1:3" x14ac:dyDescent="0.25">
      <c r="A303" t="s">
        <v>86</v>
      </c>
      <c r="B303">
        <v>2.5</v>
      </c>
      <c r="C303" s="20">
        <f t="shared" si="29"/>
        <v>1.6666666666666666E-2</v>
      </c>
    </row>
    <row r="304" spans="1:3" x14ac:dyDescent="0.25">
      <c r="A304" t="s">
        <v>241</v>
      </c>
      <c r="B304">
        <f>SUM(B295:B303)</f>
        <v>150</v>
      </c>
      <c r="C304">
        <f>SUM(C295:C303)</f>
        <v>1</v>
      </c>
    </row>
    <row r="307" spans="1:3" x14ac:dyDescent="0.25">
      <c r="A307" t="s">
        <v>16</v>
      </c>
      <c r="B307" t="s">
        <v>255</v>
      </c>
      <c r="C307" s="33" t="s">
        <v>228</v>
      </c>
    </row>
    <row r="308" spans="1:3" x14ac:dyDescent="0.25">
      <c r="A308" t="s">
        <v>256</v>
      </c>
      <c r="B308">
        <f>B295</f>
        <v>107</v>
      </c>
      <c r="C308" s="33">
        <f>B308/B$320</f>
        <v>0.71290558997934572</v>
      </c>
    </row>
    <row r="309" spans="1:3" x14ac:dyDescent="0.25">
      <c r="A309" t="s">
        <v>257</v>
      </c>
      <c r="B309">
        <f t="shared" ref="B309:B315" si="30">B296</f>
        <v>10</v>
      </c>
      <c r="C309" s="33">
        <f t="shared" ref="C309:C319" si="31">B309/B$320</f>
        <v>6.6626690652275306E-2</v>
      </c>
    </row>
    <row r="310" spans="1:3" x14ac:dyDescent="0.25">
      <c r="A310" t="s">
        <v>236</v>
      </c>
      <c r="B310">
        <f t="shared" si="30"/>
        <v>16</v>
      </c>
      <c r="C310" s="33">
        <f t="shared" si="31"/>
        <v>0.10660270504364049</v>
      </c>
    </row>
    <row r="311" spans="1:3" x14ac:dyDescent="0.25">
      <c r="A311" t="s">
        <v>0</v>
      </c>
      <c r="B311">
        <f t="shared" si="30"/>
        <v>10</v>
      </c>
      <c r="C311" s="33">
        <f t="shared" si="31"/>
        <v>6.6626690652275306E-2</v>
      </c>
    </row>
    <row r="312" spans="1:3" x14ac:dyDescent="0.25">
      <c r="A312" t="s">
        <v>258</v>
      </c>
      <c r="B312">
        <f t="shared" si="30"/>
        <v>0.5</v>
      </c>
      <c r="C312" s="33">
        <f t="shared" si="31"/>
        <v>3.3313345326137652E-3</v>
      </c>
    </row>
    <row r="313" spans="1:3" x14ac:dyDescent="0.25">
      <c r="A313" t="s">
        <v>259</v>
      </c>
      <c r="B313">
        <f t="shared" si="30"/>
        <v>2</v>
      </c>
      <c r="C313" s="33">
        <f t="shared" si="31"/>
        <v>1.3325338130455061E-2</v>
      </c>
    </row>
    <row r="314" spans="1:3" x14ac:dyDescent="0.25">
      <c r="A314" t="s">
        <v>260</v>
      </c>
      <c r="B314">
        <f t="shared" si="30"/>
        <v>1.5</v>
      </c>
      <c r="C314" s="33">
        <f t="shared" si="31"/>
        <v>9.9940035978412951E-3</v>
      </c>
    </row>
    <row r="315" spans="1:3" x14ac:dyDescent="0.25">
      <c r="A315" t="s">
        <v>261</v>
      </c>
      <c r="B315">
        <f t="shared" si="30"/>
        <v>0.5</v>
      </c>
      <c r="C315" s="33">
        <f t="shared" si="31"/>
        <v>3.3313345326137652E-3</v>
      </c>
    </row>
    <row r="316" spans="1:3" x14ac:dyDescent="0.25">
      <c r="A316" t="s">
        <v>263</v>
      </c>
      <c r="B316">
        <v>0.68</v>
      </c>
      <c r="C316" s="33">
        <f t="shared" si="31"/>
        <v>4.5306149643547207E-3</v>
      </c>
    </row>
    <row r="317" spans="1:3" x14ac:dyDescent="0.25">
      <c r="A317" t="s">
        <v>262</v>
      </c>
      <c r="B317">
        <v>1.59</v>
      </c>
      <c r="C317" s="33">
        <f t="shared" si="31"/>
        <v>1.0593643813711773E-2</v>
      </c>
    </row>
    <row r="318" spans="1:3" x14ac:dyDescent="0.25">
      <c r="A318" t="s">
        <v>264</v>
      </c>
      <c r="B318">
        <v>7.0000000000000007E-2</v>
      </c>
      <c r="C318" s="33">
        <f t="shared" si="31"/>
        <v>4.6638683456592717E-4</v>
      </c>
    </row>
    <row r="319" spans="1:3" x14ac:dyDescent="0.25">
      <c r="A319" t="s">
        <v>265</v>
      </c>
      <c r="B319">
        <f>B303*0.1</f>
        <v>0.25</v>
      </c>
      <c r="C319" s="33">
        <f t="shared" si="31"/>
        <v>1.6656672663068826E-3</v>
      </c>
    </row>
    <row r="320" spans="1:3" x14ac:dyDescent="0.25">
      <c r="B320">
        <f>SUM(B308:B319)</f>
        <v>150.09</v>
      </c>
    </row>
    <row r="323" spans="1:16" x14ac:dyDescent="0.25">
      <c r="A323" s="5" t="s">
        <v>266</v>
      </c>
      <c r="B323" s="5"/>
      <c r="C323" s="5"/>
      <c r="D323" s="5"/>
      <c r="E323" s="5"/>
      <c r="F323" s="5"/>
      <c r="G323" s="5"/>
      <c r="H323" s="5"/>
      <c r="I323" s="5"/>
      <c r="J323" s="5"/>
      <c r="K323" s="5"/>
      <c r="L323" s="5"/>
      <c r="M323" s="5"/>
      <c r="N323" s="5"/>
    </row>
    <row r="324" spans="1:16" x14ac:dyDescent="0.25">
      <c r="A324" s="29" t="s">
        <v>267</v>
      </c>
      <c r="B324" s="5"/>
      <c r="C324" s="5"/>
      <c r="D324" s="5"/>
      <c r="E324" s="5"/>
      <c r="F324" s="5"/>
      <c r="G324" s="5"/>
      <c r="H324" s="5"/>
      <c r="I324" s="5"/>
      <c r="J324" s="5"/>
      <c r="K324" s="5"/>
      <c r="L324" s="5"/>
      <c r="M324" s="5"/>
      <c r="N324" s="5"/>
    </row>
    <row r="325" spans="1:16" x14ac:dyDescent="0.25">
      <c r="A325" s="18" t="s">
        <v>268</v>
      </c>
    </row>
    <row r="326" spans="1:16" x14ac:dyDescent="0.25">
      <c r="A326" t="s">
        <v>269</v>
      </c>
    </row>
    <row r="328" spans="1:16" x14ac:dyDescent="0.25">
      <c r="A328" s="186" t="s">
        <v>270</v>
      </c>
      <c r="B328" s="186"/>
      <c r="C328" s="186"/>
      <c r="D328" s="186"/>
      <c r="E328" s="34"/>
      <c r="F328" s="35"/>
      <c r="G328" s="35"/>
      <c r="H328" s="36"/>
      <c r="I328" s="36"/>
      <c r="J328" s="36"/>
      <c r="K328" s="36"/>
      <c r="L328" s="36"/>
      <c r="M328" s="36"/>
      <c r="N328" s="36"/>
      <c r="O328" s="37"/>
      <c r="P328" s="38"/>
    </row>
    <row r="329" spans="1:16" x14ac:dyDescent="0.25">
      <c r="A329" s="187" t="s">
        <v>271</v>
      </c>
      <c r="B329" s="188"/>
      <c r="C329" s="164" t="s">
        <v>272</v>
      </c>
      <c r="D329" s="191"/>
      <c r="E329" s="165"/>
      <c r="F329" s="193" t="s">
        <v>273</v>
      </c>
      <c r="G329" s="194"/>
      <c r="H329" s="195"/>
      <c r="I329" s="199" t="s">
        <v>274</v>
      </c>
      <c r="J329" s="199"/>
      <c r="K329" s="164" t="s">
        <v>275</v>
      </c>
      <c r="L329" s="191"/>
      <c r="M329" s="165"/>
      <c r="N329" s="164" t="s">
        <v>276</v>
      </c>
      <c r="O329" s="165"/>
      <c r="P329" s="168" t="s">
        <v>277</v>
      </c>
    </row>
    <row r="330" spans="1:16" x14ac:dyDescent="0.25">
      <c r="A330" s="189"/>
      <c r="B330" s="190"/>
      <c r="C330" s="166"/>
      <c r="D330" s="192"/>
      <c r="E330" s="167"/>
      <c r="F330" s="196"/>
      <c r="G330" s="197"/>
      <c r="H330" s="198"/>
      <c r="I330" s="199"/>
      <c r="J330" s="199"/>
      <c r="K330" s="166"/>
      <c r="L330" s="192"/>
      <c r="M330" s="167"/>
      <c r="N330" s="166"/>
      <c r="O330" s="167"/>
      <c r="P330" s="168"/>
    </row>
    <row r="331" spans="1:16" x14ac:dyDescent="0.25">
      <c r="A331" s="169">
        <v>100</v>
      </c>
      <c r="B331" s="170"/>
      <c r="C331" s="171">
        <v>239</v>
      </c>
      <c r="D331" s="172"/>
      <c r="E331" s="173"/>
      <c r="F331" s="177" t="s">
        <v>278</v>
      </c>
      <c r="G331" s="177"/>
      <c r="H331" s="177"/>
      <c r="I331" s="178" t="s">
        <v>279</v>
      </c>
      <c r="J331" s="178"/>
      <c r="K331" s="179" t="s">
        <v>278</v>
      </c>
      <c r="L331" s="180"/>
      <c r="M331" s="181"/>
      <c r="N331" s="178" t="s">
        <v>280</v>
      </c>
      <c r="O331" s="178"/>
      <c r="P331" s="185">
        <v>44.871000000000002</v>
      </c>
    </row>
    <row r="332" spans="1:16" x14ac:dyDescent="0.25">
      <c r="A332" s="170"/>
      <c r="B332" s="170"/>
      <c r="C332" s="174"/>
      <c r="D332" s="175"/>
      <c r="E332" s="176"/>
      <c r="F332" s="177"/>
      <c r="G332" s="177"/>
      <c r="H332" s="177"/>
      <c r="I332" s="178"/>
      <c r="J332" s="178"/>
      <c r="K332" s="182"/>
      <c r="L332" s="183"/>
      <c r="M332" s="184"/>
      <c r="N332" s="178"/>
      <c r="O332" s="178"/>
      <c r="P332" s="185"/>
    </row>
    <row r="333" spans="1:16" x14ac:dyDescent="0.25">
      <c r="A333" s="39"/>
      <c r="B333" s="39"/>
      <c r="C333" s="39"/>
      <c r="D333" s="39"/>
      <c r="E333" s="39"/>
      <c r="F333" s="39"/>
      <c r="G333" s="39"/>
      <c r="H333" s="39"/>
      <c r="I333" s="39"/>
      <c r="J333" s="39"/>
      <c r="K333" s="40"/>
      <c r="L333" s="40"/>
      <c r="M333" s="40"/>
      <c r="N333" s="40"/>
      <c r="O333" s="40"/>
      <c r="P333" s="40"/>
    </row>
    <row r="334" spans="1:16" x14ac:dyDescent="0.25">
      <c r="A334" s="24"/>
      <c r="B334" s="24"/>
      <c r="C334" s="24"/>
      <c r="D334" s="24"/>
      <c r="E334" s="24"/>
      <c r="F334" s="24"/>
      <c r="G334" s="24"/>
      <c r="H334" s="24"/>
      <c r="I334" s="24"/>
      <c r="J334" s="24"/>
      <c r="K334" s="24"/>
      <c r="L334" s="24"/>
      <c r="M334" s="24"/>
      <c r="N334" s="24"/>
      <c r="O334" s="37"/>
      <c r="P334" s="38"/>
    </row>
    <row r="335" spans="1:16" ht="15.75" x14ac:dyDescent="0.25">
      <c r="A335" s="209" t="s">
        <v>281</v>
      </c>
      <c r="B335" s="209"/>
      <c r="C335" s="209"/>
      <c r="D335" s="209"/>
      <c r="E335" s="41"/>
      <c r="F335" s="24"/>
      <c r="G335" s="24"/>
      <c r="H335" s="24"/>
      <c r="I335" s="24"/>
      <c r="J335" s="24"/>
      <c r="K335" s="24"/>
      <c r="L335" s="24"/>
      <c r="M335" s="24"/>
      <c r="N335" s="24"/>
      <c r="O335" s="37"/>
      <c r="P335" s="38"/>
    </row>
    <row r="336" spans="1:16" x14ac:dyDescent="0.25">
      <c r="A336" s="24"/>
      <c r="B336" s="24"/>
      <c r="C336" s="24"/>
      <c r="D336" s="24"/>
      <c r="E336" s="24"/>
      <c r="F336" s="24"/>
      <c r="G336" s="24"/>
      <c r="H336" s="24"/>
      <c r="I336" s="24"/>
      <c r="J336" s="24"/>
      <c r="K336" s="24"/>
      <c r="L336" s="24"/>
      <c r="M336" s="24"/>
      <c r="N336" s="24"/>
      <c r="O336" s="37"/>
      <c r="P336" s="38"/>
    </row>
    <row r="337" spans="1:16" x14ac:dyDescent="0.25">
      <c r="A337" s="42" t="s">
        <v>270</v>
      </c>
      <c r="B337" s="24"/>
      <c r="C337" s="24"/>
      <c r="D337" s="24"/>
      <c r="E337" s="24"/>
      <c r="F337" s="24"/>
      <c r="G337" s="24"/>
      <c r="H337" s="24"/>
      <c r="I337" s="24"/>
      <c r="J337" s="24"/>
      <c r="K337" s="24"/>
      <c r="L337" s="24"/>
      <c r="M337" s="24"/>
      <c r="N337" s="24"/>
      <c r="O337" s="37"/>
      <c r="P337" s="38"/>
    </row>
    <row r="338" spans="1:16" x14ac:dyDescent="0.25">
      <c r="A338" s="210" t="s">
        <v>282</v>
      </c>
      <c r="B338" s="200" t="s">
        <v>283</v>
      </c>
      <c r="C338" s="202"/>
      <c r="D338" s="212" t="s">
        <v>284</v>
      </c>
      <c r="E338" s="213"/>
      <c r="F338" s="214"/>
      <c r="G338" s="200" t="s">
        <v>285</v>
      </c>
      <c r="H338" s="201"/>
      <c r="I338" s="202"/>
      <c r="J338" s="215" t="s">
        <v>286</v>
      </c>
      <c r="K338" s="216"/>
      <c r="L338" s="217"/>
      <c r="M338" s="200" t="s">
        <v>287</v>
      </c>
      <c r="N338" s="201"/>
      <c r="O338" s="201"/>
      <c r="P338" s="202"/>
    </row>
    <row r="339" spans="1:16" ht="30" x14ac:dyDescent="0.25">
      <c r="A339" s="211"/>
      <c r="B339" s="203"/>
      <c r="C339" s="205"/>
      <c r="D339" s="206"/>
      <c r="E339" s="207"/>
      <c r="F339" s="208"/>
      <c r="G339" s="203"/>
      <c r="H339" s="204"/>
      <c r="I339" s="205"/>
      <c r="J339" s="43" t="s">
        <v>288</v>
      </c>
      <c r="K339" s="43" t="s">
        <v>289</v>
      </c>
      <c r="L339" s="43" t="s">
        <v>290</v>
      </c>
      <c r="M339" s="203"/>
      <c r="N339" s="204"/>
      <c r="O339" s="204"/>
      <c r="P339" s="205"/>
    </row>
    <row r="340" spans="1:16" x14ac:dyDescent="0.25">
      <c r="A340" s="44" t="s">
        <v>291</v>
      </c>
      <c r="B340" s="142" t="s">
        <v>292</v>
      </c>
      <c r="C340" s="143"/>
      <c r="D340" s="144" t="s">
        <v>293</v>
      </c>
      <c r="E340" s="145"/>
      <c r="F340" s="146"/>
      <c r="G340" s="144" t="s">
        <v>294</v>
      </c>
      <c r="H340" s="145"/>
      <c r="I340" s="146"/>
      <c r="J340" s="44" t="s">
        <v>295</v>
      </c>
      <c r="K340" s="44" t="s">
        <v>227</v>
      </c>
      <c r="L340" s="45">
        <v>16.3</v>
      </c>
      <c r="M340" s="144" t="s">
        <v>296</v>
      </c>
      <c r="N340" s="145"/>
      <c r="O340" s="145"/>
      <c r="P340" s="146"/>
    </row>
    <row r="341" spans="1:16" x14ac:dyDescent="0.25">
      <c r="A341" s="44" t="s">
        <v>291</v>
      </c>
      <c r="B341" s="142" t="s">
        <v>292</v>
      </c>
      <c r="C341" s="143"/>
      <c r="D341" s="144" t="s">
        <v>293</v>
      </c>
      <c r="E341" s="145"/>
      <c r="F341" s="146"/>
      <c r="G341" s="144" t="s">
        <v>297</v>
      </c>
      <c r="H341" s="145"/>
      <c r="I341" s="146"/>
      <c r="J341" s="44" t="s">
        <v>295</v>
      </c>
      <c r="K341" s="44" t="s">
        <v>298</v>
      </c>
      <c r="L341" s="45" t="s">
        <v>339</v>
      </c>
      <c r="M341" s="147" t="s">
        <v>297</v>
      </c>
      <c r="N341" s="148"/>
      <c r="O341" s="148"/>
      <c r="P341" s="149"/>
    </row>
    <row r="342" spans="1:16" x14ac:dyDescent="0.25">
      <c r="A342" s="44" t="s">
        <v>291</v>
      </c>
      <c r="B342" s="142" t="s">
        <v>292</v>
      </c>
      <c r="C342" s="143"/>
      <c r="D342" s="144" t="s">
        <v>293</v>
      </c>
      <c r="E342" s="145"/>
      <c r="F342" s="146"/>
      <c r="G342" s="144" t="s">
        <v>0</v>
      </c>
      <c r="H342" s="145"/>
      <c r="I342" s="146"/>
      <c r="J342" s="44" t="s">
        <v>295</v>
      </c>
      <c r="K342" s="44" t="s">
        <v>227</v>
      </c>
      <c r="L342" s="46">
        <v>4.9876127899999982</v>
      </c>
      <c r="M342" s="147" t="s">
        <v>0</v>
      </c>
      <c r="N342" s="148"/>
      <c r="O342" s="148"/>
      <c r="P342" s="149"/>
    </row>
    <row r="343" spans="1:16" x14ac:dyDescent="0.25">
      <c r="A343" s="44" t="s">
        <v>291</v>
      </c>
      <c r="B343" s="142" t="s">
        <v>292</v>
      </c>
      <c r="C343" s="143"/>
      <c r="D343" s="144" t="s">
        <v>293</v>
      </c>
      <c r="E343" s="145"/>
      <c r="F343" s="146"/>
      <c r="G343" s="144" t="s">
        <v>299</v>
      </c>
      <c r="H343" s="145"/>
      <c r="I343" s="146"/>
      <c r="J343" s="44" t="s">
        <v>295</v>
      </c>
      <c r="K343" s="44" t="s">
        <v>298</v>
      </c>
      <c r="L343" s="45" t="s">
        <v>340</v>
      </c>
      <c r="M343" s="161" t="s">
        <v>300</v>
      </c>
      <c r="N343" s="162"/>
      <c r="O343" s="162"/>
      <c r="P343" s="163"/>
    </row>
    <row r="344" spans="1:16" x14ac:dyDescent="0.25">
      <c r="A344" s="44" t="s">
        <v>291</v>
      </c>
      <c r="B344" s="142" t="s">
        <v>292</v>
      </c>
      <c r="C344" s="143"/>
      <c r="D344" s="144" t="s">
        <v>293</v>
      </c>
      <c r="E344" s="145"/>
      <c r="F344" s="146"/>
      <c r="G344" s="144" t="s">
        <v>301</v>
      </c>
      <c r="H344" s="145"/>
      <c r="I344" s="146"/>
      <c r="J344" s="44" t="s">
        <v>295</v>
      </c>
      <c r="K344" s="44" t="s">
        <v>227</v>
      </c>
      <c r="L344" s="45">
        <v>0.94</v>
      </c>
      <c r="M344" s="147" t="s">
        <v>301</v>
      </c>
      <c r="N344" s="148"/>
      <c r="O344" s="148"/>
      <c r="P344" s="149"/>
    </row>
    <row r="345" spans="1:16" x14ac:dyDescent="0.25">
      <c r="A345" s="44" t="s">
        <v>291</v>
      </c>
      <c r="B345" s="142" t="s">
        <v>292</v>
      </c>
      <c r="C345" s="143"/>
      <c r="D345" s="144" t="s">
        <v>293</v>
      </c>
      <c r="E345" s="145"/>
      <c r="F345" s="146"/>
      <c r="G345" s="144" t="s">
        <v>302</v>
      </c>
      <c r="H345" s="145"/>
      <c r="I345" s="146"/>
      <c r="J345" s="44" t="s">
        <v>295</v>
      </c>
      <c r="K345" s="44" t="s">
        <v>298</v>
      </c>
      <c r="L345" s="45">
        <v>222</v>
      </c>
      <c r="M345" s="147" t="s">
        <v>303</v>
      </c>
      <c r="N345" s="148"/>
      <c r="O345" s="148"/>
      <c r="P345" s="149"/>
    </row>
    <row r="346" spans="1:16" x14ac:dyDescent="0.25">
      <c r="A346" s="44" t="s">
        <v>291</v>
      </c>
      <c r="B346" s="142" t="s">
        <v>292</v>
      </c>
      <c r="C346" s="143"/>
      <c r="D346" s="144" t="s">
        <v>293</v>
      </c>
      <c r="E346" s="145"/>
      <c r="F346" s="146"/>
      <c r="G346" s="144" t="s">
        <v>304</v>
      </c>
      <c r="H346" s="145"/>
      <c r="I346" s="146"/>
      <c r="J346" s="44" t="s">
        <v>295</v>
      </c>
      <c r="K346" s="44" t="s">
        <v>298</v>
      </c>
      <c r="L346" s="45" t="s">
        <v>341</v>
      </c>
      <c r="M346" s="147" t="s">
        <v>305</v>
      </c>
      <c r="N346" s="148"/>
      <c r="O346" s="148"/>
      <c r="P346" s="149"/>
    </row>
    <row r="347" spans="1:16" x14ac:dyDescent="0.25">
      <c r="A347" s="44" t="s">
        <v>291</v>
      </c>
      <c r="B347" s="142" t="s">
        <v>292</v>
      </c>
      <c r="C347" s="143"/>
      <c r="D347" s="144" t="s">
        <v>293</v>
      </c>
      <c r="E347" s="145"/>
      <c r="F347" s="146"/>
      <c r="G347" s="152" t="s">
        <v>306</v>
      </c>
      <c r="H347" s="153"/>
      <c r="I347" s="154"/>
      <c r="J347" s="44" t="s">
        <v>307</v>
      </c>
      <c r="K347" s="44" t="s">
        <v>298</v>
      </c>
      <c r="L347" s="45">
        <v>310</v>
      </c>
      <c r="M347" s="144" t="s">
        <v>308</v>
      </c>
      <c r="N347" s="145"/>
      <c r="O347" s="145"/>
      <c r="P347" s="146"/>
    </row>
    <row r="348" spans="1:16" x14ac:dyDescent="0.25">
      <c r="A348" s="44" t="s">
        <v>291</v>
      </c>
      <c r="B348" s="142" t="s">
        <v>292</v>
      </c>
      <c r="C348" s="143"/>
      <c r="D348" s="144" t="s">
        <v>293</v>
      </c>
      <c r="E348" s="145"/>
      <c r="F348" s="146"/>
      <c r="G348" s="144" t="s">
        <v>309</v>
      </c>
      <c r="H348" s="145"/>
      <c r="I348" s="146"/>
      <c r="J348" s="44" t="s">
        <v>307</v>
      </c>
      <c r="K348" s="44" t="s">
        <v>298</v>
      </c>
      <c r="L348" s="45">
        <v>180</v>
      </c>
      <c r="M348" s="147" t="s">
        <v>310</v>
      </c>
      <c r="N348" s="148"/>
      <c r="O348" s="148"/>
      <c r="P348" s="149"/>
    </row>
    <row r="349" spans="1:16" x14ac:dyDescent="0.25">
      <c r="A349" s="44" t="s">
        <v>291</v>
      </c>
      <c r="B349" s="142" t="s">
        <v>292</v>
      </c>
      <c r="C349" s="143"/>
      <c r="D349" s="144" t="s">
        <v>293</v>
      </c>
      <c r="E349" s="145"/>
      <c r="F349" s="146"/>
      <c r="G349" s="144" t="s">
        <v>311</v>
      </c>
      <c r="H349" s="145"/>
      <c r="I349" s="146"/>
      <c r="J349" s="44" t="s">
        <v>307</v>
      </c>
      <c r="K349" s="44" t="s">
        <v>298</v>
      </c>
      <c r="L349" s="45">
        <v>166</v>
      </c>
      <c r="M349" s="147" t="s">
        <v>312</v>
      </c>
      <c r="N349" s="148"/>
      <c r="O349" s="148"/>
      <c r="P349" s="149"/>
    </row>
    <row r="350" spans="1:16" x14ac:dyDescent="0.25">
      <c r="A350" s="44" t="s">
        <v>291</v>
      </c>
      <c r="B350" s="142" t="s">
        <v>292</v>
      </c>
      <c r="C350" s="143"/>
      <c r="D350" s="144" t="s">
        <v>293</v>
      </c>
      <c r="E350" s="145"/>
      <c r="F350" s="146"/>
      <c r="G350" s="144" t="s">
        <v>313</v>
      </c>
      <c r="H350" s="145"/>
      <c r="I350" s="146"/>
      <c r="J350" s="44" t="s">
        <v>295</v>
      </c>
      <c r="K350" s="44" t="s">
        <v>227</v>
      </c>
      <c r="L350" s="46">
        <v>2.585</v>
      </c>
      <c r="M350" s="147" t="s">
        <v>314</v>
      </c>
      <c r="N350" s="148"/>
      <c r="O350" s="148"/>
      <c r="P350" s="149"/>
    </row>
    <row r="351" spans="1:16" x14ac:dyDescent="0.25">
      <c r="A351" s="44" t="s">
        <v>291</v>
      </c>
      <c r="B351" s="142" t="s">
        <v>292</v>
      </c>
      <c r="C351" s="143"/>
      <c r="D351" s="144" t="s">
        <v>293</v>
      </c>
      <c r="E351" s="145"/>
      <c r="F351" s="146"/>
      <c r="G351" s="144" t="s">
        <v>315</v>
      </c>
      <c r="H351" s="145"/>
      <c r="I351" s="146"/>
      <c r="J351" s="44" t="s">
        <v>307</v>
      </c>
      <c r="K351" s="44" t="s">
        <v>298</v>
      </c>
      <c r="L351" s="47">
        <v>56</v>
      </c>
      <c r="M351" s="158" t="s">
        <v>316</v>
      </c>
      <c r="N351" s="159"/>
      <c r="O351" s="159"/>
      <c r="P351" s="160"/>
    </row>
    <row r="352" spans="1:16" x14ac:dyDescent="0.25">
      <c r="A352" s="44" t="s">
        <v>291</v>
      </c>
      <c r="B352" s="142" t="s">
        <v>292</v>
      </c>
      <c r="C352" s="143"/>
      <c r="D352" s="144" t="s">
        <v>293</v>
      </c>
      <c r="E352" s="145"/>
      <c r="F352" s="146"/>
      <c r="G352" s="144" t="s">
        <v>317</v>
      </c>
      <c r="H352" s="145"/>
      <c r="I352" s="146"/>
      <c r="J352" s="44" t="s">
        <v>295</v>
      </c>
      <c r="K352" s="44" t="s">
        <v>298</v>
      </c>
      <c r="L352" s="45">
        <v>7</v>
      </c>
      <c r="M352" s="147" t="s">
        <v>318</v>
      </c>
      <c r="N352" s="148"/>
      <c r="O352" s="148"/>
      <c r="P352" s="149"/>
    </row>
    <row r="353" spans="1:16" x14ac:dyDescent="0.25">
      <c r="A353" s="44" t="s">
        <v>291</v>
      </c>
      <c r="B353" s="142" t="s">
        <v>292</v>
      </c>
      <c r="C353" s="143"/>
      <c r="D353" s="144" t="s">
        <v>293</v>
      </c>
      <c r="E353" s="145"/>
      <c r="F353" s="146"/>
      <c r="G353" s="144" t="s">
        <v>319</v>
      </c>
      <c r="H353" s="145"/>
      <c r="I353" s="146"/>
      <c r="J353" s="44" t="s">
        <v>295</v>
      </c>
      <c r="K353" s="44" t="s">
        <v>298</v>
      </c>
      <c r="L353" s="45">
        <v>26</v>
      </c>
      <c r="M353" s="147" t="s">
        <v>320</v>
      </c>
      <c r="N353" s="148"/>
      <c r="O353" s="148"/>
      <c r="P353" s="149"/>
    </row>
    <row r="354" spans="1:16" x14ac:dyDescent="0.25">
      <c r="A354" s="44" t="s">
        <v>291</v>
      </c>
      <c r="B354" s="142" t="s">
        <v>292</v>
      </c>
      <c r="C354" s="143"/>
      <c r="D354" s="144" t="s">
        <v>293</v>
      </c>
      <c r="E354" s="145"/>
      <c r="F354" s="146"/>
      <c r="G354" s="144" t="s">
        <v>321</v>
      </c>
      <c r="H354" s="145"/>
      <c r="I354" s="146"/>
      <c r="J354" s="44" t="s">
        <v>295</v>
      </c>
      <c r="K354" s="44" t="s">
        <v>298</v>
      </c>
      <c r="L354" s="45">
        <v>4</v>
      </c>
      <c r="M354" s="147" t="s">
        <v>322</v>
      </c>
      <c r="N354" s="148"/>
      <c r="O354" s="148"/>
      <c r="P354" s="149"/>
    </row>
    <row r="355" spans="1:16" x14ac:dyDescent="0.25">
      <c r="A355" s="44" t="s">
        <v>291</v>
      </c>
      <c r="B355" s="142" t="s">
        <v>292</v>
      </c>
      <c r="C355" s="143"/>
      <c r="D355" s="144" t="s">
        <v>293</v>
      </c>
      <c r="E355" s="145"/>
      <c r="F355" s="146"/>
      <c r="G355" s="144" t="s">
        <v>263</v>
      </c>
      <c r="H355" s="145"/>
      <c r="I355" s="146"/>
      <c r="J355" s="44" t="s">
        <v>295</v>
      </c>
      <c r="K355" s="44" t="s">
        <v>227</v>
      </c>
      <c r="L355" s="46">
        <v>0.51</v>
      </c>
      <c r="M355" s="155" t="s">
        <v>300</v>
      </c>
      <c r="N355" s="156"/>
      <c r="O355" s="156"/>
      <c r="P355" s="157"/>
    </row>
    <row r="356" spans="1:16" x14ac:dyDescent="0.25">
      <c r="A356" s="44" t="s">
        <v>291</v>
      </c>
      <c r="B356" s="142" t="s">
        <v>292</v>
      </c>
      <c r="C356" s="143"/>
      <c r="D356" s="144" t="s">
        <v>293</v>
      </c>
      <c r="E356" s="145"/>
      <c r="F356" s="146"/>
      <c r="G356" s="144" t="s">
        <v>265</v>
      </c>
      <c r="H356" s="145"/>
      <c r="I356" s="146"/>
      <c r="J356" s="44" t="s">
        <v>295</v>
      </c>
      <c r="K356" s="44" t="s">
        <v>298</v>
      </c>
      <c r="L356" s="45" t="s">
        <v>342</v>
      </c>
      <c r="M356" s="147" t="s">
        <v>323</v>
      </c>
      <c r="N356" s="148"/>
      <c r="O356" s="148"/>
      <c r="P356" s="149"/>
    </row>
    <row r="357" spans="1:16" x14ac:dyDescent="0.25">
      <c r="A357" s="44" t="s">
        <v>291</v>
      </c>
      <c r="B357" s="142" t="s">
        <v>292</v>
      </c>
      <c r="C357" s="143"/>
      <c r="D357" s="144" t="s">
        <v>293</v>
      </c>
      <c r="E357" s="145"/>
      <c r="F357" s="146"/>
      <c r="G357" s="144" t="s">
        <v>324</v>
      </c>
      <c r="H357" s="145"/>
      <c r="I357" s="146"/>
      <c r="J357" s="44" t="s">
        <v>295</v>
      </c>
      <c r="K357" s="44" t="s">
        <v>298</v>
      </c>
      <c r="L357" s="45">
        <v>6</v>
      </c>
      <c r="M357" s="147" t="s">
        <v>325</v>
      </c>
      <c r="N357" s="148"/>
      <c r="O357" s="148"/>
      <c r="P357" s="149"/>
    </row>
    <row r="358" spans="1:16" x14ac:dyDescent="0.25">
      <c r="A358" s="44" t="s">
        <v>291</v>
      </c>
      <c r="B358" s="142" t="s">
        <v>292</v>
      </c>
      <c r="C358" s="143"/>
      <c r="D358" s="144" t="s">
        <v>293</v>
      </c>
      <c r="E358" s="145"/>
      <c r="F358" s="146"/>
      <c r="G358" s="144" t="s">
        <v>326</v>
      </c>
      <c r="H358" s="145"/>
      <c r="I358" s="146"/>
      <c r="J358" s="44" t="s">
        <v>295</v>
      </c>
      <c r="K358" s="44" t="s">
        <v>298</v>
      </c>
      <c r="L358" s="45">
        <v>139</v>
      </c>
      <c r="M358" s="147" t="s">
        <v>327</v>
      </c>
      <c r="N358" s="148"/>
      <c r="O358" s="148"/>
      <c r="P358" s="149"/>
    </row>
    <row r="359" spans="1:16" x14ac:dyDescent="0.25">
      <c r="A359" s="44" t="s">
        <v>291</v>
      </c>
      <c r="B359" s="142" t="s">
        <v>292</v>
      </c>
      <c r="C359" s="143"/>
      <c r="D359" s="144" t="s">
        <v>293</v>
      </c>
      <c r="E359" s="145"/>
      <c r="F359" s="146"/>
      <c r="G359" s="144" t="s">
        <v>328</v>
      </c>
      <c r="H359" s="145"/>
      <c r="I359" s="146"/>
      <c r="J359" s="44" t="s">
        <v>295</v>
      </c>
      <c r="K359" s="44" t="s">
        <v>298</v>
      </c>
      <c r="L359" s="45">
        <v>149</v>
      </c>
      <c r="M359" s="147" t="s">
        <v>327</v>
      </c>
      <c r="N359" s="148"/>
      <c r="O359" s="148"/>
      <c r="P359" s="149"/>
    </row>
    <row r="360" spans="1:16" x14ac:dyDescent="0.25">
      <c r="A360" s="44" t="s">
        <v>291</v>
      </c>
      <c r="B360" s="142" t="s">
        <v>292</v>
      </c>
      <c r="C360" s="143"/>
      <c r="D360" s="144" t="s">
        <v>293</v>
      </c>
      <c r="E360" s="145"/>
      <c r="F360" s="146"/>
      <c r="G360" s="144" t="s">
        <v>329</v>
      </c>
      <c r="H360" s="145"/>
      <c r="I360" s="146"/>
      <c r="J360" s="48" t="s">
        <v>295</v>
      </c>
      <c r="K360" s="44" t="s">
        <v>298</v>
      </c>
      <c r="L360" s="45" t="s">
        <v>343</v>
      </c>
      <c r="M360" s="147" t="s">
        <v>329</v>
      </c>
      <c r="N360" s="148"/>
      <c r="O360" s="148"/>
      <c r="P360" s="149"/>
    </row>
    <row r="361" spans="1:16" x14ac:dyDescent="0.25">
      <c r="A361" s="44" t="s">
        <v>291</v>
      </c>
      <c r="B361" s="142" t="s">
        <v>292</v>
      </c>
      <c r="C361" s="143"/>
      <c r="D361" s="144" t="s">
        <v>293</v>
      </c>
      <c r="E361" s="145"/>
      <c r="F361" s="146"/>
      <c r="G361" s="152" t="s">
        <v>330</v>
      </c>
      <c r="H361" s="153"/>
      <c r="I361" s="154"/>
      <c r="J361" s="48" t="s">
        <v>307</v>
      </c>
      <c r="K361" s="44" t="s">
        <v>298</v>
      </c>
      <c r="L361" s="45">
        <v>98</v>
      </c>
      <c r="M361" s="147" t="s">
        <v>331</v>
      </c>
      <c r="N361" s="148"/>
      <c r="O361" s="148"/>
      <c r="P361" s="149"/>
    </row>
    <row r="362" spans="1:16" x14ac:dyDescent="0.25">
      <c r="A362" s="44" t="s">
        <v>291</v>
      </c>
      <c r="B362" s="142" t="s">
        <v>292</v>
      </c>
      <c r="C362" s="143"/>
      <c r="D362" s="144" t="s">
        <v>293</v>
      </c>
      <c r="E362" s="145"/>
      <c r="F362" s="146"/>
      <c r="G362" s="144" t="s">
        <v>332</v>
      </c>
      <c r="H362" s="145"/>
      <c r="I362" s="146"/>
      <c r="J362" s="48" t="s">
        <v>295</v>
      </c>
      <c r="K362" s="44" t="s">
        <v>298</v>
      </c>
      <c r="L362" s="45">
        <v>28</v>
      </c>
      <c r="M362" s="147" t="s">
        <v>322</v>
      </c>
      <c r="N362" s="148"/>
      <c r="O362" s="148"/>
      <c r="P362" s="149"/>
    </row>
    <row r="363" spans="1:16" x14ac:dyDescent="0.25">
      <c r="A363" s="44" t="s">
        <v>291</v>
      </c>
      <c r="B363" s="142" t="s">
        <v>292</v>
      </c>
      <c r="C363" s="143"/>
      <c r="D363" s="144" t="s">
        <v>293</v>
      </c>
      <c r="E363" s="145"/>
      <c r="F363" s="146"/>
      <c r="G363" s="144" t="s">
        <v>333</v>
      </c>
      <c r="H363" s="145"/>
      <c r="I363" s="146"/>
      <c r="J363" s="48" t="s">
        <v>295</v>
      </c>
      <c r="K363" s="44" t="s">
        <v>227</v>
      </c>
      <c r="L363" s="45">
        <v>1.01</v>
      </c>
      <c r="M363" s="147" t="s">
        <v>334</v>
      </c>
      <c r="N363" s="148"/>
      <c r="O363" s="148"/>
      <c r="P363" s="149"/>
    </row>
    <row r="364" spans="1:16" x14ac:dyDescent="0.25">
      <c r="A364" s="44" t="s">
        <v>291</v>
      </c>
      <c r="B364" s="142" t="s">
        <v>292</v>
      </c>
      <c r="C364" s="143"/>
      <c r="D364" s="144" t="s">
        <v>293</v>
      </c>
      <c r="E364" s="145"/>
      <c r="F364" s="146"/>
      <c r="G364" s="144" t="s">
        <v>335</v>
      </c>
      <c r="H364" s="145"/>
      <c r="I364" s="146"/>
      <c r="J364" s="48" t="s">
        <v>295</v>
      </c>
      <c r="K364" s="44" t="s">
        <v>227</v>
      </c>
      <c r="L364" s="45">
        <v>44.800000000000004</v>
      </c>
      <c r="M364" s="144" t="s">
        <v>336</v>
      </c>
      <c r="N364" s="145"/>
      <c r="O364" s="145"/>
      <c r="P364" s="146"/>
    </row>
    <row r="367" spans="1:16" x14ac:dyDescent="0.25">
      <c r="A367" s="15" t="s">
        <v>16</v>
      </c>
      <c r="B367" s="15" t="s">
        <v>196</v>
      </c>
      <c r="C367" s="15" t="s">
        <v>228</v>
      </c>
    </row>
    <row r="368" spans="1:16" x14ac:dyDescent="0.25">
      <c r="A368" s="15" t="s">
        <v>294</v>
      </c>
      <c r="B368" s="15">
        <f>L340</f>
        <v>16.3</v>
      </c>
      <c r="C368" s="16">
        <f>B368/P$331</f>
        <v>0.36326357781194979</v>
      </c>
    </row>
    <row r="369" spans="1:14" x14ac:dyDescent="0.25">
      <c r="A369" s="15" t="s">
        <v>297</v>
      </c>
      <c r="B369" s="15">
        <f>L341/1000</f>
        <v>1.9E-2</v>
      </c>
      <c r="C369" s="16">
        <f t="shared" ref="C369:C379" si="32">B369/P$331</f>
        <v>4.2343607229613779E-4</v>
      </c>
    </row>
    <row r="370" spans="1:14" x14ac:dyDescent="0.25">
      <c r="A370" s="15" t="s">
        <v>0</v>
      </c>
      <c r="B370" s="33">
        <f>L342</f>
        <v>4.9876127899999982</v>
      </c>
      <c r="C370" s="16">
        <f t="shared" si="32"/>
        <v>0.11115448262797793</v>
      </c>
    </row>
    <row r="371" spans="1:14" x14ac:dyDescent="0.25">
      <c r="A371" s="15" t="s">
        <v>299</v>
      </c>
      <c r="B371" s="15">
        <f>L343/1000</f>
        <v>5.8000000000000003E-2</v>
      </c>
      <c r="C371" s="16">
        <f t="shared" si="32"/>
        <v>1.2925943259566313E-3</v>
      </c>
    </row>
    <row r="372" spans="1:14" x14ac:dyDescent="0.25">
      <c r="A372" s="15" t="s">
        <v>301</v>
      </c>
      <c r="B372" s="15">
        <f>L344</f>
        <v>0.94</v>
      </c>
      <c r="C372" s="16">
        <f t="shared" si="32"/>
        <v>2.0948942524124711E-2</v>
      </c>
    </row>
    <row r="373" spans="1:14" x14ac:dyDescent="0.25">
      <c r="A373" s="15" t="s">
        <v>337</v>
      </c>
      <c r="B373" s="33">
        <f>L350</f>
        <v>2.585</v>
      </c>
      <c r="C373" s="16">
        <f t="shared" si="32"/>
        <v>5.7609591941342957E-2</v>
      </c>
    </row>
    <row r="374" spans="1:14" x14ac:dyDescent="0.25">
      <c r="A374" s="15" t="s">
        <v>263</v>
      </c>
      <c r="B374" s="33">
        <f>L355</f>
        <v>0.51</v>
      </c>
      <c r="C374" s="16">
        <f t="shared" si="32"/>
        <v>1.1365915624791067E-2</v>
      </c>
    </row>
    <row r="375" spans="1:14" x14ac:dyDescent="0.25">
      <c r="A375" s="15" t="s">
        <v>265</v>
      </c>
      <c r="B375" s="15">
        <f>L356/1000</f>
        <v>1.2999999999999999E-2</v>
      </c>
      <c r="C375" s="16">
        <f t="shared" si="32"/>
        <v>2.8971941788683112E-4</v>
      </c>
    </row>
    <row r="376" spans="1:14" x14ac:dyDescent="0.25">
      <c r="A376" s="15" t="s">
        <v>333</v>
      </c>
      <c r="B376" s="15">
        <f>L363</f>
        <v>1.01</v>
      </c>
      <c r="C376" s="16">
        <f t="shared" si="32"/>
        <v>2.2508970158899955E-2</v>
      </c>
    </row>
    <row r="377" spans="1:14" x14ac:dyDescent="0.25">
      <c r="A377" s="15" t="s">
        <v>335</v>
      </c>
      <c r="B377" s="15">
        <f>L364</f>
        <v>44.800000000000004</v>
      </c>
      <c r="C377" s="16">
        <f t="shared" si="32"/>
        <v>0.99841768625615657</v>
      </c>
    </row>
    <row r="378" spans="1:14" x14ac:dyDescent="0.25">
      <c r="A378" s="15"/>
      <c r="B378" s="15"/>
      <c r="C378" s="16"/>
    </row>
    <row r="379" spans="1:14" x14ac:dyDescent="0.25">
      <c r="A379" s="15" t="s">
        <v>338</v>
      </c>
      <c r="B379" s="33">
        <f>B377+B376+B373</f>
        <v>48.395000000000003</v>
      </c>
      <c r="C379" s="16">
        <f t="shared" si="32"/>
        <v>1.0785362483563994</v>
      </c>
    </row>
    <row r="382" spans="1:14" x14ac:dyDescent="0.25">
      <c r="A382" s="5" t="s">
        <v>474</v>
      </c>
      <c r="B382" s="5"/>
      <c r="C382" s="5"/>
      <c r="D382" s="5"/>
      <c r="E382" s="5"/>
      <c r="F382" s="5"/>
      <c r="G382" s="5"/>
      <c r="H382" s="5"/>
      <c r="I382" s="5"/>
      <c r="J382" s="5"/>
      <c r="K382" s="5"/>
      <c r="L382" s="5"/>
      <c r="M382" s="5"/>
      <c r="N382" s="5"/>
    </row>
    <row r="383" spans="1:14" x14ac:dyDescent="0.25">
      <c r="A383" s="29" t="s">
        <v>344</v>
      </c>
      <c r="B383" s="5"/>
      <c r="C383" s="5"/>
      <c r="D383" s="5"/>
      <c r="E383" s="5"/>
      <c r="F383" s="5"/>
      <c r="G383" s="5"/>
      <c r="H383" s="5"/>
      <c r="I383" s="5"/>
      <c r="J383" s="5"/>
      <c r="K383" s="5"/>
      <c r="L383" s="5"/>
      <c r="M383" s="5"/>
      <c r="N383" s="5"/>
    </row>
    <row r="384" spans="1:14" x14ac:dyDescent="0.25">
      <c r="A384" s="18" t="s">
        <v>345</v>
      </c>
    </row>
    <row r="385" spans="1:22" x14ac:dyDescent="0.25">
      <c r="A385" t="s">
        <v>346</v>
      </c>
      <c r="B385" t="s">
        <v>347</v>
      </c>
    </row>
    <row r="387" spans="1:22" x14ac:dyDescent="0.25">
      <c r="A387" t="s">
        <v>377</v>
      </c>
      <c r="M387" s="49" t="s">
        <v>378</v>
      </c>
    </row>
    <row r="388" spans="1:22" ht="30" x14ac:dyDescent="0.25">
      <c r="B388" t="s">
        <v>358</v>
      </c>
      <c r="C388" t="s">
        <v>359</v>
      </c>
      <c r="D388" t="s">
        <v>360</v>
      </c>
      <c r="E388" t="s">
        <v>361</v>
      </c>
      <c r="F388" t="s">
        <v>362</v>
      </c>
      <c r="G388" t="s">
        <v>363</v>
      </c>
      <c r="H388" t="s">
        <v>364</v>
      </c>
      <c r="I388" t="s">
        <v>365</v>
      </c>
      <c r="J388" t="s">
        <v>366</v>
      </c>
      <c r="M388" s="21"/>
      <c r="N388" s="21" t="s">
        <v>367</v>
      </c>
      <c r="O388" s="21" t="s">
        <v>368</v>
      </c>
      <c r="P388" s="21" t="s">
        <v>369</v>
      </c>
      <c r="Q388" s="21" t="s">
        <v>370</v>
      </c>
      <c r="R388" s="21" t="s">
        <v>371</v>
      </c>
      <c r="S388" s="21" t="s">
        <v>372</v>
      </c>
      <c r="T388" s="21" t="s">
        <v>373</v>
      </c>
      <c r="U388" s="21" t="s">
        <v>374</v>
      </c>
      <c r="V388" s="21" t="s">
        <v>375</v>
      </c>
    </row>
    <row r="389" spans="1:22" x14ac:dyDescent="0.25">
      <c r="A389" t="s">
        <v>102</v>
      </c>
      <c r="B389">
        <v>0</v>
      </c>
      <c r="C389">
        <v>0</v>
      </c>
      <c r="D389">
        <v>0</v>
      </c>
      <c r="E389">
        <v>0</v>
      </c>
      <c r="F389">
        <v>206</v>
      </c>
      <c r="G389">
        <v>2571</v>
      </c>
      <c r="H389">
        <v>7466</v>
      </c>
      <c r="I389">
        <v>354</v>
      </c>
      <c r="J389">
        <v>17</v>
      </c>
      <c r="M389" s="21" t="s">
        <v>102</v>
      </c>
      <c r="N389" s="21">
        <v>0</v>
      </c>
      <c r="O389" s="21">
        <v>17</v>
      </c>
      <c r="P389" s="21">
        <v>210</v>
      </c>
      <c r="Q389" s="21">
        <v>350</v>
      </c>
      <c r="R389" s="21">
        <v>2600</v>
      </c>
      <c r="S389" s="21">
        <v>7500</v>
      </c>
      <c r="T389" s="21">
        <v>17</v>
      </c>
      <c r="U389" s="21">
        <v>210</v>
      </c>
      <c r="V389" s="21">
        <v>350</v>
      </c>
    </row>
    <row r="390" spans="1:22" x14ac:dyDescent="0.25">
      <c r="A390" s="21" t="s">
        <v>357</v>
      </c>
      <c r="B390" s="21">
        <v>0</v>
      </c>
      <c r="C390" s="21">
        <v>0</v>
      </c>
      <c r="D390" s="21">
        <v>0</v>
      </c>
      <c r="E390" s="21">
        <v>200</v>
      </c>
      <c r="F390" s="21">
        <v>0</v>
      </c>
      <c r="G390" s="21">
        <v>0</v>
      </c>
      <c r="H390" s="21">
        <v>0</v>
      </c>
      <c r="I390" s="21">
        <v>0</v>
      </c>
      <c r="J390" s="21">
        <v>0</v>
      </c>
      <c r="M390" s="21" t="s">
        <v>357</v>
      </c>
      <c r="N390" s="21">
        <v>200</v>
      </c>
      <c r="O390" s="21">
        <v>200</v>
      </c>
      <c r="P390" s="21">
        <v>200</v>
      </c>
      <c r="Q390" s="21">
        <v>200</v>
      </c>
      <c r="R390" s="21">
        <v>200</v>
      </c>
      <c r="S390" s="21">
        <v>200</v>
      </c>
      <c r="T390" s="21">
        <v>200</v>
      </c>
      <c r="U390" s="21">
        <v>200</v>
      </c>
      <c r="V390" s="21">
        <v>200</v>
      </c>
    </row>
    <row r="391" spans="1:22" x14ac:dyDescent="0.25">
      <c r="A391" s="21" t="s">
        <v>348</v>
      </c>
      <c r="B391" s="21">
        <v>43210</v>
      </c>
      <c r="C391" s="21">
        <v>0</v>
      </c>
      <c r="D391" s="21">
        <v>49500</v>
      </c>
      <c r="E391" s="21">
        <v>21800</v>
      </c>
      <c r="F391" s="21">
        <v>376</v>
      </c>
      <c r="G391" s="21">
        <v>4686</v>
      </c>
      <c r="H391" s="21">
        <v>13607</v>
      </c>
      <c r="I391" s="21">
        <v>645</v>
      </c>
      <c r="J391" s="21">
        <v>0</v>
      </c>
      <c r="M391" s="21" t="s">
        <v>348</v>
      </c>
      <c r="N391" s="21">
        <v>71300</v>
      </c>
      <c r="O391" s="21">
        <v>114500</v>
      </c>
      <c r="P391" s="21">
        <v>114900</v>
      </c>
      <c r="Q391" s="21">
        <v>115200</v>
      </c>
      <c r="R391" s="21">
        <v>162400</v>
      </c>
      <c r="S391" s="21">
        <v>78600</v>
      </c>
      <c r="T391" s="21">
        <v>65000</v>
      </c>
      <c r="U391" s="21">
        <v>65400</v>
      </c>
      <c r="V391" s="21">
        <v>65700</v>
      </c>
    </row>
    <row r="392" spans="1:22" x14ac:dyDescent="0.25">
      <c r="A392" s="21" t="s">
        <v>349</v>
      </c>
      <c r="B392" s="21">
        <v>0</v>
      </c>
      <c r="C392" s="21">
        <v>0</v>
      </c>
      <c r="D392" s="21">
        <v>0</v>
      </c>
      <c r="E392" s="21">
        <v>0</v>
      </c>
      <c r="F392" s="21">
        <v>0</v>
      </c>
      <c r="G392" s="21">
        <v>0</v>
      </c>
      <c r="H392" s="21">
        <v>0</v>
      </c>
      <c r="I392" s="21">
        <v>0</v>
      </c>
      <c r="J392" s="21">
        <v>559</v>
      </c>
      <c r="M392" s="21" t="s">
        <v>349</v>
      </c>
      <c r="N392" s="21">
        <v>0</v>
      </c>
      <c r="O392" s="21">
        <v>560</v>
      </c>
      <c r="P392" s="21">
        <v>0</v>
      </c>
      <c r="Q392" s="21">
        <v>0</v>
      </c>
      <c r="R392" s="21">
        <v>0</v>
      </c>
      <c r="S392" s="21">
        <v>0</v>
      </c>
      <c r="T392" s="21">
        <v>560</v>
      </c>
      <c r="U392" s="21">
        <v>0</v>
      </c>
      <c r="V392" s="21">
        <v>0</v>
      </c>
    </row>
    <row r="393" spans="1:22" x14ac:dyDescent="0.25">
      <c r="A393" s="21" t="s">
        <v>350</v>
      </c>
      <c r="B393" s="21">
        <v>2095</v>
      </c>
      <c r="C393" s="21">
        <v>0</v>
      </c>
      <c r="D393" s="21">
        <v>1130</v>
      </c>
      <c r="E393" s="21">
        <v>10022</v>
      </c>
      <c r="F393" s="21">
        <v>526</v>
      </c>
      <c r="G393" s="21">
        <v>6562</v>
      </c>
      <c r="H393" s="21">
        <v>19054</v>
      </c>
      <c r="I393" s="21">
        <v>902</v>
      </c>
      <c r="J393" s="21">
        <v>0</v>
      </c>
      <c r="M393" s="21" t="s">
        <v>350</v>
      </c>
      <c r="N393" s="21">
        <v>11200</v>
      </c>
      <c r="O393" s="21">
        <v>13200</v>
      </c>
      <c r="P393" s="21">
        <v>13800</v>
      </c>
      <c r="Q393" s="21">
        <v>14100</v>
      </c>
      <c r="R393" s="21">
        <v>21900</v>
      </c>
      <c r="S393" s="21">
        <v>31200</v>
      </c>
      <c r="T393" s="21">
        <v>12100</v>
      </c>
      <c r="U393" s="21">
        <v>12600</v>
      </c>
      <c r="V393" s="21">
        <v>13000</v>
      </c>
    </row>
    <row r="394" spans="1:22" x14ac:dyDescent="0.25">
      <c r="A394" s="21" t="s">
        <v>351</v>
      </c>
      <c r="B394" s="21">
        <v>131968</v>
      </c>
      <c r="C394" s="21">
        <v>0</v>
      </c>
      <c r="D394" s="21">
        <v>144406</v>
      </c>
      <c r="E394" s="21">
        <v>777537</v>
      </c>
      <c r="F394" s="21">
        <v>0</v>
      </c>
      <c r="G394" s="21">
        <v>0</v>
      </c>
      <c r="H394" s="21">
        <v>0</v>
      </c>
      <c r="I394" s="21">
        <v>0</v>
      </c>
      <c r="J394" s="21">
        <v>2300</v>
      </c>
      <c r="M394" s="21" t="s">
        <v>351</v>
      </c>
      <c r="N394" s="21">
        <v>921900</v>
      </c>
      <c r="O394" s="21">
        <v>1056200</v>
      </c>
      <c r="P394" s="21">
        <v>1053900</v>
      </c>
      <c r="Q394" s="21">
        <v>1053900</v>
      </c>
      <c r="R394" s="21">
        <v>1185900</v>
      </c>
      <c r="S394" s="21">
        <v>909500</v>
      </c>
      <c r="T394" s="21">
        <v>911800</v>
      </c>
      <c r="U394" s="21">
        <v>909500</v>
      </c>
      <c r="V394" s="21">
        <v>909500</v>
      </c>
    </row>
    <row r="395" spans="1:22" x14ac:dyDescent="0.25">
      <c r="A395" s="21" t="s">
        <v>95</v>
      </c>
      <c r="B395" s="21">
        <v>0</v>
      </c>
      <c r="C395" s="21">
        <v>0</v>
      </c>
      <c r="D395" s="21">
        <v>0</v>
      </c>
      <c r="E395" s="21">
        <v>0</v>
      </c>
      <c r="F395" s="21">
        <v>564</v>
      </c>
      <c r="G395" s="21">
        <v>7039</v>
      </c>
      <c r="H395" s="21">
        <v>20439</v>
      </c>
      <c r="I395" s="21">
        <v>968</v>
      </c>
      <c r="J395" s="21">
        <v>0</v>
      </c>
      <c r="M395" s="21" t="s">
        <v>95</v>
      </c>
      <c r="N395" s="21">
        <v>0</v>
      </c>
      <c r="O395" s="21">
        <v>0</v>
      </c>
      <c r="P395" s="21">
        <v>560</v>
      </c>
      <c r="Q395" s="21">
        <v>970</v>
      </c>
      <c r="R395" s="21">
        <v>7000</v>
      </c>
      <c r="S395" s="21">
        <v>20400</v>
      </c>
      <c r="T395" s="21">
        <v>0</v>
      </c>
      <c r="U395" s="21">
        <v>560</v>
      </c>
      <c r="V395" s="21">
        <v>970</v>
      </c>
    </row>
    <row r="396" spans="1:22" x14ac:dyDescent="0.25">
      <c r="A396" s="21" t="s">
        <v>352</v>
      </c>
      <c r="B396" s="21">
        <v>0</v>
      </c>
      <c r="C396" s="21">
        <v>0</v>
      </c>
      <c r="D396" s="21">
        <v>0</v>
      </c>
      <c r="E396" s="21">
        <v>0</v>
      </c>
      <c r="F396" s="21">
        <v>562</v>
      </c>
      <c r="G396" s="21">
        <v>7011</v>
      </c>
      <c r="H396" s="21">
        <v>20356</v>
      </c>
      <c r="I396" s="21">
        <v>964</v>
      </c>
      <c r="J396" s="21">
        <v>9492</v>
      </c>
      <c r="M396" s="21" t="s">
        <v>352</v>
      </c>
      <c r="N396" s="21">
        <v>0</v>
      </c>
      <c r="O396" s="21">
        <v>9500</v>
      </c>
      <c r="P396" s="21">
        <v>560</v>
      </c>
      <c r="Q396" s="21">
        <v>970</v>
      </c>
      <c r="R396" s="21">
        <v>7000</v>
      </c>
      <c r="S396" s="21">
        <v>20400</v>
      </c>
      <c r="T396" s="21">
        <v>9500</v>
      </c>
      <c r="U396" s="21">
        <v>560</v>
      </c>
      <c r="V396" s="21">
        <v>960</v>
      </c>
    </row>
    <row r="397" spans="1:22" x14ac:dyDescent="0.25">
      <c r="A397" s="21" t="s">
        <v>353</v>
      </c>
      <c r="B397" s="21">
        <v>14000</v>
      </c>
      <c r="C397" s="21">
        <v>0</v>
      </c>
      <c r="D397" s="21">
        <v>6500</v>
      </c>
      <c r="E397" s="21">
        <v>15800</v>
      </c>
      <c r="F397" s="21">
        <v>1731</v>
      </c>
      <c r="G397" s="21">
        <v>21604</v>
      </c>
      <c r="H397" s="21">
        <v>62729</v>
      </c>
      <c r="I397" s="21">
        <v>2971</v>
      </c>
      <c r="J397" s="21">
        <v>0</v>
      </c>
      <c r="M397" s="21" t="s">
        <v>353</v>
      </c>
      <c r="N397" s="21">
        <v>22300</v>
      </c>
      <c r="O397" s="21">
        <v>36300</v>
      </c>
      <c r="P397" s="21">
        <v>38000</v>
      </c>
      <c r="Q397" s="21">
        <v>39300</v>
      </c>
      <c r="R397" s="21">
        <v>71900</v>
      </c>
      <c r="S397" s="21">
        <v>92500</v>
      </c>
      <c r="T397" s="21">
        <v>29800</v>
      </c>
      <c r="U397" s="21">
        <v>31500</v>
      </c>
      <c r="V397" s="21">
        <v>32800</v>
      </c>
    </row>
    <row r="398" spans="1:22" x14ac:dyDescent="0.25">
      <c r="A398" s="21" t="s">
        <v>354</v>
      </c>
      <c r="B398" s="21">
        <v>0</v>
      </c>
      <c r="C398" s="21">
        <v>0</v>
      </c>
      <c r="D398" s="21">
        <v>0</v>
      </c>
      <c r="E398" s="21">
        <v>100</v>
      </c>
      <c r="F398" s="21">
        <v>0</v>
      </c>
      <c r="G398" s="21">
        <v>0</v>
      </c>
      <c r="H398" s="21">
        <v>0</v>
      </c>
      <c r="I398" s="21">
        <v>0</v>
      </c>
      <c r="J398" s="21">
        <v>0</v>
      </c>
      <c r="M398" s="21" t="s">
        <v>354</v>
      </c>
      <c r="N398" s="21">
        <v>100</v>
      </c>
      <c r="O398" s="21">
        <v>100</v>
      </c>
      <c r="P398" s="21">
        <v>100</v>
      </c>
      <c r="Q398" s="21">
        <v>100</v>
      </c>
      <c r="R398" s="21">
        <v>100</v>
      </c>
      <c r="S398" s="21">
        <v>100</v>
      </c>
      <c r="T398" s="21">
        <v>100</v>
      </c>
      <c r="U398" s="21">
        <v>100</v>
      </c>
      <c r="V398" s="21">
        <v>100</v>
      </c>
    </row>
    <row r="399" spans="1:22" x14ac:dyDescent="0.25">
      <c r="A399" s="21" t="s">
        <v>101</v>
      </c>
      <c r="B399" s="21">
        <v>0</v>
      </c>
      <c r="C399" s="21">
        <v>0</v>
      </c>
      <c r="D399" s="21">
        <v>0</v>
      </c>
      <c r="E399" s="21">
        <v>0</v>
      </c>
      <c r="F399" s="21">
        <v>0</v>
      </c>
      <c r="G399" s="21">
        <v>0</v>
      </c>
      <c r="H399" s="21">
        <v>0</v>
      </c>
      <c r="I399" s="21">
        <v>0</v>
      </c>
      <c r="J399" s="21">
        <v>536</v>
      </c>
      <c r="M399" s="21" t="s">
        <v>101</v>
      </c>
      <c r="N399" s="21">
        <v>0</v>
      </c>
      <c r="O399" s="21">
        <v>540</v>
      </c>
      <c r="P399" s="21">
        <v>0</v>
      </c>
      <c r="Q399" s="21">
        <v>0</v>
      </c>
      <c r="R399" s="21">
        <v>0</v>
      </c>
      <c r="S399" s="21">
        <v>0</v>
      </c>
      <c r="T399" s="21">
        <v>540</v>
      </c>
      <c r="U399" s="21">
        <v>0</v>
      </c>
      <c r="V399" s="21">
        <v>0</v>
      </c>
    </row>
    <row r="400" spans="1:22" x14ac:dyDescent="0.25">
      <c r="A400" s="21" t="s">
        <v>94</v>
      </c>
      <c r="B400" s="21">
        <v>0</v>
      </c>
      <c r="C400" s="21">
        <v>0</v>
      </c>
      <c r="D400" s="21">
        <v>0</v>
      </c>
      <c r="E400" s="21">
        <v>0</v>
      </c>
      <c r="F400" s="21">
        <v>0</v>
      </c>
      <c r="G400" s="21">
        <v>0</v>
      </c>
      <c r="H400" s="21">
        <v>0</v>
      </c>
      <c r="I400" s="21">
        <v>0</v>
      </c>
      <c r="J400" s="21">
        <v>740</v>
      </c>
      <c r="M400" s="21" t="s">
        <v>94</v>
      </c>
      <c r="N400" s="21">
        <v>0</v>
      </c>
      <c r="O400" s="21">
        <v>740</v>
      </c>
      <c r="P400" s="21">
        <v>0</v>
      </c>
      <c r="Q400" s="21">
        <v>0</v>
      </c>
      <c r="R400" s="21">
        <v>0</v>
      </c>
      <c r="S400" s="21">
        <v>0</v>
      </c>
      <c r="T400" s="21">
        <v>740</v>
      </c>
      <c r="U400" s="21">
        <v>0</v>
      </c>
      <c r="V400" s="21">
        <v>0</v>
      </c>
    </row>
    <row r="401" spans="1:22" x14ac:dyDescent="0.25">
      <c r="A401" s="21" t="s">
        <v>107</v>
      </c>
      <c r="B401" s="21">
        <v>0.5</v>
      </c>
      <c r="C401" s="21">
        <v>0</v>
      </c>
      <c r="D401" s="21">
        <v>0</v>
      </c>
      <c r="E401" s="21">
        <v>0</v>
      </c>
      <c r="F401" s="21">
        <v>0</v>
      </c>
      <c r="G401" s="21">
        <v>0</v>
      </c>
      <c r="H401" s="21">
        <v>0</v>
      </c>
      <c r="I401" s="21">
        <v>0</v>
      </c>
      <c r="J401" s="21">
        <v>74</v>
      </c>
      <c r="M401" s="21" t="s">
        <v>107</v>
      </c>
      <c r="N401" s="21">
        <v>0</v>
      </c>
      <c r="O401" s="21">
        <v>74</v>
      </c>
      <c r="P401" s="21">
        <v>0.5</v>
      </c>
      <c r="Q401" s="21">
        <v>0.5</v>
      </c>
      <c r="R401" s="21">
        <v>1</v>
      </c>
      <c r="S401" s="21">
        <v>0.5</v>
      </c>
      <c r="T401" s="21">
        <v>74</v>
      </c>
      <c r="U401" s="21">
        <v>0.5</v>
      </c>
      <c r="V401" s="21">
        <v>0.5</v>
      </c>
    </row>
    <row r="402" spans="1:22" x14ac:dyDescent="0.25">
      <c r="A402" s="21" t="s">
        <v>105</v>
      </c>
      <c r="B402" s="21">
        <v>497</v>
      </c>
      <c r="C402" s="21">
        <v>0</v>
      </c>
      <c r="D402" s="21">
        <v>0</v>
      </c>
      <c r="E402" s="21">
        <v>0</v>
      </c>
      <c r="F402" s="21">
        <v>0</v>
      </c>
      <c r="G402" s="21">
        <v>0</v>
      </c>
      <c r="H402" s="21">
        <v>0</v>
      </c>
      <c r="I402" s="21">
        <v>0</v>
      </c>
      <c r="J402" s="21">
        <v>234</v>
      </c>
      <c r="M402" s="21" t="s">
        <v>105</v>
      </c>
      <c r="N402" s="21">
        <v>0</v>
      </c>
      <c r="O402" s="21">
        <v>730</v>
      </c>
      <c r="P402" s="21">
        <v>500</v>
      </c>
      <c r="Q402" s="21">
        <v>500</v>
      </c>
      <c r="R402" s="21">
        <v>1000</v>
      </c>
      <c r="S402" s="21">
        <v>500</v>
      </c>
      <c r="T402" s="21">
        <v>730</v>
      </c>
      <c r="U402" s="21">
        <v>500</v>
      </c>
      <c r="V402" s="21">
        <v>500</v>
      </c>
    </row>
    <row r="403" spans="1:22" x14ac:dyDescent="0.25">
      <c r="A403" s="21" t="s">
        <v>98</v>
      </c>
      <c r="B403" s="21">
        <v>0</v>
      </c>
      <c r="C403" s="21">
        <v>0</v>
      </c>
      <c r="D403" s="21">
        <v>0</v>
      </c>
      <c r="E403" s="21">
        <v>0</v>
      </c>
      <c r="F403" s="21">
        <v>0</v>
      </c>
      <c r="G403" s="21">
        <v>0</v>
      </c>
      <c r="H403" s="21">
        <v>0</v>
      </c>
      <c r="I403" s="21">
        <v>0</v>
      </c>
      <c r="J403" s="21">
        <v>5</v>
      </c>
      <c r="M403" s="21" t="s">
        <v>98</v>
      </c>
      <c r="N403" s="21">
        <v>0</v>
      </c>
      <c r="O403" s="21">
        <v>5</v>
      </c>
      <c r="P403" s="21">
        <v>0</v>
      </c>
      <c r="Q403" s="21">
        <v>0</v>
      </c>
      <c r="R403" s="21">
        <v>0</v>
      </c>
      <c r="S403" s="21">
        <v>0</v>
      </c>
      <c r="T403" s="21">
        <v>5</v>
      </c>
      <c r="U403" s="21">
        <v>0</v>
      </c>
      <c r="V403" s="21">
        <v>0</v>
      </c>
    </row>
    <row r="404" spans="1:22" x14ac:dyDescent="0.25">
      <c r="A404" s="21" t="s">
        <v>117</v>
      </c>
      <c r="B404" s="21">
        <v>0</v>
      </c>
      <c r="C404" s="21">
        <v>0</v>
      </c>
      <c r="D404" s="21">
        <v>0</v>
      </c>
      <c r="E404" s="21">
        <v>0</v>
      </c>
      <c r="F404" s="21">
        <v>0</v>
      </c>
      <c r="G404" s="21">
        <v>0</v>
      </c>
      <c r="H404" s="21">
        <v>0</v>
      </c>
      <c r="I404" s="21">
        <v>0</v>
      </c>
      <c r="J404" s="21">
        <v>0.24</v>
      </c>
      <c r="M404" s="21" t="s">
        <v>117</v>
      </c>
      <c r="N404" s="21">
        <v>0</v>
      </c>
      <c r="O404" s="21">
        <v>0.24</v>
      </c>
      <c r="P404" s="21">
        <v>0</v>
      </c>
      <c r="Q404" s="21">
        <v>0</v>
      </c>
      <c r="R404" s="21">
        <v>0</v>
      </c>
      <c r="S404" s="21">
        <v>0</v>
      </c>
      <c r="T404" s="21">
        <v>0.24</v>
      </c>
      <c r="U404" s="21">
        <v>0</v>
      </c>
      <c r="V404" s="21">
        <v>0</v>
      </c>
    </row>
    <row r="405" spans="1:22" x14ac:dyDescent="0.25">
      <c r="A405" s="21" t="s">
        <v>96</v>
      </c>
      <c r="B405" s="21">
        <v>34</v>
      </c>
      <c r="C405" s="21">
        <v>0</v>
      </c>
      <c r="D405" s="21">
        <v>0</v>
      </c>
      <c r="E405" s="21">
        <v>0</v>
      </c>
      <c r="F405" s="21">
        <v>0</v>
      </c>
      <c r="G405" s="21">
        <v>0</v>
      </c>
      <c r="H405" s="21">
        <v>0</v>
      </c>
      <c r="I405" s="21">
        <v>0</v>
      </c>
      <c r="J405" s="21">
        <v>0.12</v>
      </c>
      <c r="M405" s="21" t="s">
        <v>96</v>
      </c>
      <c r="N405" s="21">
        <v>0</v>
      </c>
      <c r="O405" s="21">
        <v>34.1</v>
      </c>
      <c r="P405" s="21">
        <v>34</v>
      </c>
      <c r="Q405" s="21">
        <v>34</v>
      </c>
      <c r="R405" s="21">
        <v>68</v>
      </c>
      <c r="S405" s="21">
        <v>34</v>
      </c>
      <c r="T405" s="21">
        <v>34.1</v>
      </c>
      <c r="U405" s="21">
        <v>34</v>
      </c>
      <c r="V405" s="21">
        <v>34</v>
      </c>
    </row>
    <row r="406" spans="1:22" x14ac:dyDescent="0.25">
      <c r="A406" s="21" t="s">
        <v>355</v>
      </c>
      <c r="B406" s="21">
        <v>0</v>
      </c>
      <c r="C406" s="21">
        <v>0</v>
      </c>
      <c r="D406" s="21">
        <v>0</v>
      </c>
      <c r="E406" s="21">
        <v>0</v>
      </c>
      <c r="F406" s="21">
        <v>0</v>
      </c>
      <c r="G406" s="21">
        <v>0</v>
      </c>
      <c r="H406" s="21">
        <v>0</v>
      </c>
      <c r="I406" s="21">
        <v>0</v>
      </c>
      <c r="J406" s="21">
        <v>0.25</v>
      </c>
      <c r="M406" s="21" t="s">
        <v>355</v>
      </c>
      <c r="N406" s="21">
        <v>0</v>
      </c>
      <c r="O406" s="21">
        <v>0.25</v>
      </c>
      <c r="P406" s="21">
        <v>0</v>
      </c>
      <c r="Q406" s="21">
        <v>0</v>
      </c>
      <c r="R406" s="21">
        <v>0</v>
      </c>
      <c r="S406" s="21">
        <v>0</v>
      </c>
      <c r="T406" s="21">
        <v>0.25</v>
      </c>
      <c r="U406" s="21">
        <v>0</v>
      </c>
      <c r="V406" s="21">
        <v>0</v>
      </c>
    </row>
    <row r="407" spans="1:22" x14ac:dyDescent="0.25">
      <c r="A407" s="21" t="s">
        <v>108</v>
      </c>
      <c r="B407" s="21">
        <v>0</v>
      </c>
      <c r="C407" s="21">
        <v>20</v>
      </c>
      <c r="D407" s="21">
        <v>2</v>
      </c>
      <c r="E407" s="21">
        <v>0</v>
      </c>
      <c r="F407" s="21">
        <v>0</v>
      </c>
      <c r="G407" s="21">
        <v>0</v>
      </c>
      <c r="H407" s="21">
        <v>0</v>
      </c>
      <c r="I407" s="21">
        <v>0</v>
      </c>
      <c r="J407" s="21">
        <v>0</v>
      </c>
      <c r="M407" s="21" t="s">
        <v>108</v>
      </c>
      <c r="N407" s="21">
        <v>2</v>
      </c>
      <c r="O407" s="21">
        <v>2</v>
      </c>
      <c r="P407" s="21">
        <v>2</v>
      </c>
      <c r="Q407" s="21">
        <v>2</v>
      </c>
      <c r="R407" s="21">
        <v>2</v>
      </c>
      <c r="S407" s="21">
        <v>0</v>
      </c>
      <c r="T407" s="21">
        <v>20</v>
      </c>
      <c r="U407" s="21">
        <v>20</v>
      </c>
      <c r="V407" s="21">
        <v>20</v>
      </c>
    </row>
    <row r="408" spans="1:22" x14ac:dyDescent="0.25">
      <c r="A408" s="21" t="s">
        <v>356</v>
      </c>
      <c r="B408" s="21">
        <v>10</v>
      </c>
      <c r="C408" s="21">
        <v>0</v>
      </c>
      <c r="D408" s="21">
        <v>0</v>
      </c>
      <c r="E408" s="21">
        <v>300</v>
      </c>
      <c r="F408" s="21">
        <v>0</v>
      </c>
      <c r="G408" s="21">
        <v>0</v>
      </c>
      <c r="H408" s="21">
        <v>0</v>
      </c>
      <c r="I408" s="21">
        <v>0</v>
      </c>
      <c r="J408" s="21">
        <v>0</v>
      </c>
      <c r="M408" s="21" t="s">
        <v>356</v>
      </c>
      <c r="N408" s="21">
        <v>300</v>
      </c>
      <c r="O408" s="21">
        <v>310</v>
      </c>
      <c r="P408" s="21">
        <v>310</v>
      </c>
      <c r="Q408" s="21">
        <v>310</v>
      </c>
      <c r="R408" s="21">
        <v>320</v>
      </c>
      <c r="S408" s="21">
        <v>310</v>
      </c>
      <c r="T408" s="21">
        <v>310</v>
      </c>
      <c r="U408" s="21">
        <v>310</v>
      </c>
      <c r="V408" s="21">
        <v>310</v>
      </c>
    </row>
    <row r="409" spans="1:22" x14ac:dyDescent="0.25">
      <c r="M409" s="21" t="s">
        <v>376</v>
      </c>
      <c r="N409" s="21">
        <v>1027302</v>
      </c>
      <c r="O409" s="21">
        <v>1233013</v>
      </c>
      <c r="P409" s="21">
        <v>1223077</v>
      </c>
      <c r="Q409" s="21">
        <v>1225937</v>
      </c>
      <c r="R409" s="21">
        <v>1460391</v>
      </c>
      <c r="S409" s="21">
        <v>1161245</v>
      </c>
      <c r="T409" s="21">
        <v>1031531</v>
      </c>
      <c r="U409" s="21">
        <v>1021495</v>
      </c>
      <c r="V409" s="21">
        <v>1024445</v>
      </c>
    </row>
    <row r="410" spans="1:22" x14ac:dyDescent="0.25">
      <c r="A410" s="15"/>
      <c r="B410" s="151" t="s">
        <v>381</v>
      </c>
      <c r="C410" s="151"/>
    </row>
    <row r="411" spans="1:22" x14ac:dyDescent="0.25">
      <c r="A411" s="15"/>
      <c r="B411" s="15" t="s">
        <v>379</v>
      </c>
      <c r="C411" s="15" t="s">
        <v>380</v>
      </c>
    </row>
    <row r="412" spans="1:22" x14ac:dyDescent="0.25">
      <c r="A412" s="15" t="s">
        <v>102</v>
      </c>
      <c r="B412" s="16">
        <f t="shared" ref="B412:B431" si="33">B389/SUM(B$389:B$408)</f>
        <v>0</v>
      </c>
      <c r="C412" s="16">
        <f>D389/SUM(D$389:D$408)</f>
        <v>0</v>
      </c>
    </row>
    <row r="413" spans="1:22" x14ac:dyDescent="0.25">
      <c r="A413" s="22" t="s">
        <v>357</v>
      </c>
      <c r="B413" s="16">
        <f t="shared" si="33"/>
        <v>0</v>
      </c>
      <c r="C413" s="16">
        <f t="shared" ref="C413:C431" si="34">D390/SUM(D$389:D$408)</f>
        <v>0</v>
      </c>
    </row>
    <row r="414" spans="1:22" x14ac:dyDescent="0.25">
      <c r="A414" s="22" t="s">
        <v>348</v>
      </c>
      <c r="B414" s="16">
        <f t="shared" si="33"/>
        <v>0.22526972674120049</v>
      </c>
      <c r="C414" s="16">
        <f t="shared" si="34"/>
        <v>0.24561124949141105</v>
      </c>
    </row>
    <row r="415" spans="1:22" x14ac:dyDescent="0.25">
      <c r="A415" s="22" t="s">
        <v>349</v>
      </c>
      <c r="B415" s="16">
        <f t="shared" si="33"/>
        <v>0</v>
      </c>
      <c r="C415" s="16">
        <f t="shared" si="34"/>
        <v>0</v>
      </c>
    </row>
    <row r="416" spans="1:22" x14ac:dyDescent="0.25">
      <c r="A416" s="22" t="s">
        <v>350</v>
      </c>
      <c r="B416" s="16">
        <f t="shared" si="33"/>
        <v>1.0922010588354895E-2</v>
      </c>
      <c r="C416" s="16">
        <f t="shared" si="34"/>
        <v>5.6068830691978688E-3</v>
      </c>
    </row>
    <row r="417" spans="1:3" x14ac:dyDescent="0.25">
      <c r="A417" s="22" t="s">
        <v>351</v>
      </c>
      <c r="B417" s="16">
        <f t="shared" si="33"/>
        <v>0.68799803977280127</v>
      </c>
      <c r="C417" s="16">
        <f t="shared" si="34"/>
        <v>0.71651996149609498</v>
      </c>
    </row>
    <row r="418" spans="1:3" x14ac:dyDescent="0.25">
      <c r="A418" s="22" t="s">
        <v>95</v>
      </c>
      <c r="B418" s="16">
        <f t="shared" si="33"/>
        <v>0</v>
      </c>
      <c r="C418" s="16">
        <f t="shared" si="34"/>
        <v>0</v>
      </c>
    </row>
    <row r="419" spans="1:3" x14ac:dyDescent="0.25">
      <c r="A419" s="22" t="s">
        <v>352</v>
      </c>
      <c r="B419" s="16">
        <f t="shared" si="33"/>
        <v>0</v>
      </c>
      <c r="C419" s="16">
        <f t="shared" si="34"/>
        <v>0</v>
      </c>
    </row>
    <row r="420" spans="1:3" x14ac:dyDescent="0.25">
      <c r="A420" s="22" t="s">
        <v>353</v>
      </c>
      <c r="B420" s="16">
        <f t="shared" si="33"/>
        <v>7.2987182929340588E-2</v>
      </c>
      <c r="C420" s="16">
        <f t="shared" si="34"/>
        <v>3.2251982256447917E-2</v>
      </c>
    </row>
    <row r="421" spans="1:3" x14ac:dyDescent="0.25">
      <c r="A421" s="22" t="s">
        <v>354</v>
      </c>
      <c r="B421" s="16">
        <f t="shared" si="33"/>
        <v>0</v>
      </c>
      <c r="C421" s="16">
        <f t="shared" si="34"/>
        <v>0</v>
      </c>
    </row>
    <row r="422" spans="1:3" x14ac:dyDescent="0.25">
      <c r="A422" s="22" t="s">
        <v>101</v>
      </c>
      <c r="B422" s="16">
        <f t="shared" si="33"/>
        <v>0</v>
      </c>
      <c r="C422" s="16">
        <f t="shared" si="34"/>
        <v>0</v>
      </c>
    </row>
    <row r="423" spans="1:3" x14ac:dyDescent="0.25">
      <c r="A423" s="22" t="s">
        <v>94</v>
      </c>
      <c r="B423" s="16">
        <f t="shared" si="33"/>
        <v>0</v>
      </c>
      <c r="C423" s="16">
        <f t="shared" si="34"/>
        <v>0</v>
      </c>
    </row>
    <row r="424" spans="1:3" x14ac:dyDescent="0.25">
      <c r="A424" s="22" t="s">
        <v>107</v>
      </c>
      <c r="B424" s="16">
        <f t="shared" si="33"/>
        <v>2.6066851046193066E-6</v>
      </c>
      <c r="C424" s="16">
        <f t="shared" si="34"/>
        <v>0</v>
      </c>
    </row>
    <row r="425" spans="1:3" x14ac:dyDescent="0.25">
      <c r="A425" s="22" t="s">
        <v>105</v>
      </c>
      <c r="B425" s="16">
        <f t="shared" si="33"/>
        <v>2.5910449939915907E-3</v>
      </c>
      <c r="C425" s="16">
        <f t="shared" si="34"/>
        <v>0</v>
      </c>
    </row>
    <row r="426" spans="1:3" x14ac:dyDescent="0.25">
      <c r="A426" s="22" t="s">
        <v>98</v>
      </c>
      <c r="B426" s="16">
        <f t="shared" si="33"/>
        <v>0</v>
      </c>
      <c r="C426" s="16">
        <f t="shared" si="34"/>
        <v>0</v>
      </c>
    </row>
    <row r="427" spans="1:3" x14ac:dyDescent="0.25">
      <c r="A427" s="22" t="s">
        <v>117</v>
      </c>
      <c r="B427" s="16">
        <f t="shared" si="33"/>
        <v>0</v>
      </c>
      <c r="C427" s="16">
        <f t="shared" si="34"/>
        <v>0</v>
      </c>
    </row>
    <row r="428" spans="1:3" x14ac:dyDescent="0.25">
      <c r="A428" s="22" t="s">
        <v>96</v>
      </c>
      <c r="B428" s="16">
        <f t="shared" si="33"/>
        <v>1.7725458711411284E-4</v>
      </c>
      <c r="C428" s="16">
        <f t="shared" si="34"/>
        <v>0</v>
      </c>
    </row>
    <row r="429" spans="1:3" x14ac:dyDescent="0.25">
      <c r="A429" s="22" t="s">
        <v>355</v>
      </c>
      <c r="B429" s="16">
        <f t="shared" si="33"/>
        <v>0</v>
      </c>
      <c r="C429" s="16">
        <f t="shared" si="34"/>
        <v>0</v>
      </c>
    </row>
    <row r="430" spans="1:3" x14ac:dyDescent="0.25">
      <c r="A430" s="22" t="s">
        <v>108</v>
      </c>
      <c r="B430" s="16">
        <f t="shared" si="33"/>
        <v>0</v>
      </c>
      <c r="C430" s="16">
        <f t="shared" si="34"/>
        <v>9.92368684813782E-6</v>
      </c>
    </row>
    <row r="431" spans="1:3" x14ac:dyDescent="0.25">
      <c r="A431" s="22" t="s">
        <v>356</v>
      </c>
      <c r="B431" s="16">
        <f t="shared" si="33"/>
        <v>5.2133702092386132E-5</v>
      </c>
      <c r="C431" s="16">
        <f t="shared" si="34"/>
        <v>0</v>
      </c>
    </row>
    <row r="435" spans="1:14" x14ac:dyDescent="0.25">
      <c r="A435" s="5" t="s">
        <v>472</v>
      </c>
      <c r="B435" s="5"/>
      <c r="C435" s="5"/>
      <c r="D435" s="5"/>
      <c r="E435" s="5"/>
      <c r="F435" s="5"/>
      <c r="G435" s="5"/>
      <c r="H435" s="5"/>
      <c r="I435" s="5"/>
      <c r="J435" s="5"/>
      <c r="K435" s="5"/>
      <c r="L435" s="5"/>
      <c r="M435" s="5"/>
      <c r="N435" s="5"/>
    </row>
    <row r="436" spans="1:14" x14ac:dyDescent="0.25">
      <c r="A436" s="29" t="s">
        <v>382</v>
      </c>
      <c r="B436" s="5"/>
      <c r="C436" s="5"/>
      <c r="D436" s="5"/>
      <c r="E436" s="5"/>
      <c r="F436" s="5"/>
      <c r="G436" s="5"/>
      <c r="H436" s="5"/>
      <c r="I436" s="5"/>
      <c r="J436" s="5"/>
      <c r="K436" s="5"/>
      <c r="L436" s="5"/>
      <c r="M436" s="5"/>
      <c r="N436" s="5"/>
    </row>
    <row r="437" spans="1:14" x14ac:dyDescent="0.25">
      <c r="A437" s="18" t="s">
        <v>383</v>
      </c>
    </row>
    <row r="438" spans="1:14" x14ac:dyDescent="0.25">
      <c r="A438" t="s">
        <v>384</v>
      </c>
    </row>
    <row r="440" spans="1:14" x14ac:dyDescent="0.25">
      <c r="A440" s="15" t="s">
        <v>390</v>
      </c>
    </row>
    <row r="441" spans="1:14" x14ac:dyDescent="0.25">
      <c r="B441" s="150" t="s">
        <v>389</v>
      </c>
      <c r="C441" s="150"/>
      <c r="D441" s="150"/>
      <c r="E441" s="150"/>
      <c r="H441" s="151" t="s">
        <v>394</v>
      </c>
      <c r="I441" s="151"/>
      <c r="J441" s="151"/>
      <c r="K441" s="151"/>
      <c r="L441" s="15"/>
    </row>
    <row r="442" spans="1:14" x14ac:dyDescent="0.25">
      <c r="B442" t="s">
        <v>385</v>
      </c>
      <c r="C442" t="s">
        <v>386</v>
      </c>
      <c r="D442" t="s">
        <v>387</v>
      </c>
      <c r="E442" t="s">
        <v>388</v>
      </c>
      <c r="H442" s="15" t="s">
        <v>385</v>
      </c>
      <c r="I442" s="15" t="s">
        <v>386</v>
      </c>
      <c r="J442" s="15" t="s">
        <v>387</v>
      </c>
      <c r="K442" s="15" t="s">
        <v>388</v>
      </c>
      <c r="L442" s="15" t="s">
        <v>395</v>
      </c>
    </row>
    <row r="443" spans="1:14" x14ac:dyDescent="0.25">
      <c r="A443" t="s">
        <v>105</v>
      </c>
      <c r="B443" s="13">
        <v>0.15</v>
      </c>
      <c r="C443" s="13">
        <v>0.36</v>
      </c>
      <c r="D443" s="13">
        <v>3.5999999999999997E-2</v>
      </c>
      <c r="E443" s="13">
        <v>0</v>
      </c>
      <c r="G443" t="s">
        <v>105</v>
      </c>
      <c r="H443" s="16">
        <f>B443/$B$455</f>
        <v>3.3429163602326666E-3</v>
      </c>
      <c r="I443" s="16">
        <f>C443/C$455</f>
        <v>2.3985608634819106E-3</v>
      </c>
      <c r="J443" s="16"/>
      <c r="K443" s="16">
        <f>E443/E$455</f>
        <v>0</v>
      </c>
      <c r="L443" s="16">
        <f>E443/1625</f>
        <v>0</v>
      </c>
    </row>
    <row r="444" spans="1:14" x14ac:dyDescent="0.25">
      <c r="A444" t="s">
        <v>107</v>
      </c>
      <c r="B444" s="13">
        <v>0.05</v>
      </c>
      <c r="C444" s="13">
        <v>0.12</v>
      </c>
      <c r="D444" s="13">
        <v>1.2E-2</v>
      </c>
      <c r="E444" s="13">
        <v>0</v>
      </c>
      <c r="G444" t="s">
        <v>107</v>
      </c>
      <c r="H444" s="16">
        <f t="shared" ref="H444:H454" si="35">B444/$B$455</f>
        <v>1.114305453410889E-3</v>
      </c>
      <c r="I444" s="16">
        <f t="shared" ref="I444:I454" si="36">C444/C$455</f>
        <v>7.9952028782730362E-4</v>
      </c>
      <c r="J444" s="16"/>
      <c r="K444" s="16">
        <f t="shared" ref="K444:K454" si="37">E444/E$455</f>
        <v>0</v>
      </c>
      <c r="L444" s="16">
        <f t="shared" ref="L444:L454" si="38">E444/1625</f>
        <v>0</v>
      </c>
    </row>
    <row r="445" spans="1:14" x14ac:dyDescent="0.25">
      <c r="A445" t="s">
        <v>96</v>
      </c>
      <c r="B445" s="13">
        <v>0.09</v>
      </c>
      <c r="C445" s="13">
        <v>0.21</v>
      </c>
      <c r="D445" s="13">
        <v>2.1000000000000001E-2</v>
      </c>
      <c r="E445" s="13">
        <v>0</v>
      </c>
      <c r="G445" t="s">
        <v>96</v>
      </c>
      <c r="H445" s="16">
        <f t="shared" si="35"/>
        <v>2.0057498161396002E-3</v>
      </c>
      <c r="I445" s="16">
        <f t="shared" si="36"/>
        <v>1.3991605036977812E-3</v>
      </c>
      <c r="J445" s="16"/>
      <c r="K445" s="16">
        <f t="shared" si="37"/>
        <v>0</v>
      </c>
      <c r="L445" s="16">
        <f t="shared" si="38"/>
        <v>0</v>
      </c>
    </row>
    <row r="446" spans="1:14" x14ac:dyDescent="0.25">
      <c r="A446" t="s">
        <v>117</v>
      </c>
      <c r="B446" s="13">
        <v>8.9999999999999993E-3</v>
      </c>
      <c r="C446" s="13">
        <v>2.1000000000000001E-2</v>
      </c>
      <c r="D446" s="13">
        <v>2.0999999999999999E-3</v>
      </c>
      <c r="E446" s="13">
        <v>0</v>
      </c>
      <c r="G446" t="s">
        <v>117</v>
      </c>
      <c r="H446" s="16">
        <f t="shared" si="35"/>
        <v>2.0057498161396001E-4</v>
      </c>
      <c r="I446" s="16">
        <f t="shared" si="36"/>
        <v>1.3991605036977814E-4</v>
      </c>
      <c r="J446" s="16"/>
      <c r="K446" s="16">
        <f t="shared" si="37"/>
        <v>0</v>
      </c>
      <c r="L446" s="16">
        <f t="shared" si="38"/>
        <v>0</v>
      </c>
    </row>
    <row r="447" spans="1:14" x14ac:dyDescent="0.25">
      <c r="A447" t="s">
        <v>108</v>
      </c>
      <c r="B447" s="13">
        <v>0</v>
      </c>
      <c r="C447" s="13">
        <v>0</v>
      </c>
      <c r="D447" s="13">
        <v>0.08</v>
      </c>
      <c r="E447" s="13">
        <v>2.3E-3</v>
      </c>
      <c r="G447" t="s">
        <v>108</v>
      </c>
      <c r="H447" s="16">
        <f t="shared" si="35"/>
        <v>0</v>
      </c>
      <c r="I447" s="16">
        <f t="shared" si="36"/>
        <v>0</v>
      </c>
      <c r="J447" s="16"/>
      <c r="K447" s="16">
        <f t="shared" si="37"/>
        <v>1.1412239875358492E-5</v>
      </c>
      <c r="L447" s="16">
        <f t="shared" si="38"/>
        <v>1.4153846153846155E-6</v>
      </c>
    </row>
    <row r="448" spans="1:14" x14ac:dyDescent="0.25">
      <c r="A448" t="s">
        <v>106</v>
      </c>
      <c r="B448" s="13">
        <v>0</v>
      </c>
      <c r="C448" s="13">
        <v>0</v>
      </c>
      <c r="D448">
        <v>0</v>
      </c>
      <c r="E448" s="13">
        <v>2.7000000000000001E-3</v>
      </c>
      <c r="G448" t="s">
        <v>106</v>
      </c>
      <c r="H448" s="16">
        <f t="shared" si="35"/>
        <v>0</v>
      </c>
      <c r="I448" s="16">
        <f t="shared" si="36"/>
        <v>0</v>
      </c>
      <c r="J448" s="15"/>
      <c r="K448" s="16">
        <f t="shared" si="37"/>
        <v>1.3396977244986058E-5</v>
      </c>
      <c r="L448" s="16">
        <f t="shared" si="38"/>
        <v>1.6615384615384616E-6</v>
      </c>
    </row>
    <row r="449" spans="1:12" x14ac:dyDescent="0.25">
      <c r="A449" t="s">
        <v>92</v>
      </c>
      <c r="B449" s="13">
        <v>0</v>
      </c>
      <c r="C449" s="13">
        <v>0</v>
      </c>
      <c r="D449" s="13">
        <v>0</v>
      </c>
      <c r="E449" s="13">
        <v>0</v>
      </c>
      <c r="G449" t="s">
        <v>92</v>
      </c>
      <c r="H449" s="16">
        <f t="shared" si="35"/>
        <v>0</v>
      </c>
      <c r="I449" s="16">
        <f t="shared" si="36"/>
        <v>0</v>
      </c>
      <c r="J449" s="16"/>
      <c r="K449" s="16">
        <f t="shared" si="37"/>
        <v>0</v>
      </c>
      <c r="L449" s="16">
        <f t="shared" si="38"/>
        <v>0</v>
      </c>
    </row>
    <row r="450" spans="1:12" x14ac:dyDescent="0.25">
      <c r="A450" t="s">
        <v>91</v>
      </c>
      <c r="B450" s="13">
        <v>0</v>
      </c>
      <c r="C450" s="13">
        <v>0</v>
      </c>
      <c r="D450" s="13">
        <v>0</v>
      </c>
      <c r="E450" s="13">
        <v>0</v>
      </c>
      <c r="G450" t="s">
        <v>91</v>
      </c>
      <c r="H450" s="16">
        <f t="shared" si="35"/>
        <v>0</v>
      </c>
      <c r="I450" s="16">
        <f t="shared" si="36"/>
        <v>0</v>
      </c>
      <c r="J450" s="16"/>
      <c r="K450" s="16">
        <f t="shared" si="37"/>
        <v>0</v>
      </c>
      <c r="L450" s="16">
        <f t="shared" si="38"/>
        <v>0</v>
      </c>
    </row>
    <row r="451" spans="1:12" x14ac:dyDescent="0.25">
      <c r="A451" t="s">
        <v>97</v>
      </c>
      <c r="B451" s="13">
        <v>4.35E-4</v>
      </c>
      <c r="C451" s="13">
        <v>1E-3</v>
      </c>
      <c r="D451" s="13">
        <v>1.0349999999999999E-4</v>
      </c>
      <c r="E451" s="13">
        <v>0</v>
      </c>
      <c r="G451" t="s">
        <v>97</v>
      </c>
      <c r="H451" s="16">
        <f t="shared" si="35"/>
        <v>9.6944574446747341E-6</v>
      </c>
      <c r="I451" s="16">
        <f t="shared" si="36"/>
        <v>6.6626690652275305E-6</v>
      </c>
      <c r="J451" s="16"/>
      <c r="K451" s="16">
        <f t="shared" si="37"/>
        <v>0</v>
      </c>
      <c r="L451" s="16">
        <f t="shared" si="38"/>
        <v>0</v>
      </c>
    </row>
    <row r="452" spans="1:12" x14ac:dyDescent="0.25">
      <c r="A452" t="s">
        <v>99</v>
      </c>
      <c r="B452" s="13">
        <v>0</v>
      </c>
      <c r="C452">
        <v>0</v>
      </c>
      <c r="D452">
        <v>0</v>
      </c>
      <c r="E452" s="13">
        <v>0</v>
      </c>
      <c r="G452" t="s">
        <v>99</v>
      </c>
      <c r="H452" s="16">
        <f t="shared" si="35"/>
        <v>0</v>
      </c>
      <c r="I452" s="16">
        <f t="shared" si="36"/>
        <v>0</v>
      </c>
      <c r="J452" s="15"/>
      <c r="K452" s="16">
        <f t="shared" si="37"/>
        <v>0</v>
      </c>
      <c r="L452" s="16">
        <f t="shared" si="38"/>
        <v>0</v>
      </c>
    </row>
    <row r="453" spans="1:12" x14ac:dyDescent="0.25">
      <c r="A453" t="s">
        <v>100</v>
      </c>
      <c r="B453" s="13">
        <v>0</v>
      </c>
      <c r="C453" s="13">
        <v>0</v>
      </c>
      <c r="D453" s="13">
        <v>0</v>
      </c>
      <c r="E453" s="13">
        <v>0</v>
      </c>
      <c r="G453" t="s">
        <v>100</v>
      </c>
      <c r="H453" s="16">
        <f t="shared" si="35"/>
        <v>0</v>
      </c>
      <c r="I453" s="16">
        <f t="shared" si="36"/>
        <v>0</v>
      </c>
      <c r="J453" s="16"/>
      <c r="K453" s="16">
        <f t="shared" si="37"/>
        <v>0</v>
      </c>
      <c r="L453" s="16">
        <f t="shared" si="38"/>
        <v>0</v>
      </c>
    </row>
    <row r="454" spans="1:12" x14ac:dyDescent="0.25">
      <c r="A454" t="s">
        <v>353</v>
      </c>
      <c r="B454">
        <v>7</v>
      </c>
      <c r="C454" s="13">
        <v>12.6</v>
      </c>
      <c r="D454" s="13">
        <v>1.3</v>
      </c>
      <c r="E454" s="13">
        <v>0</v>
      </c>
      <c r="G454" t="s">
        <v>353</v>
      </c>
      <c r="H454" s="16">
        <f t="shared" si="35"/>
        <v>0.15600276347752445</v>
      </c>
      <c r="I454" s="16">
        <f t="shared" si="36"/>
        <v>8.3949630221866869E-2</v>
      </c>
      <c r="J454" s="16"/>
      <c r="K454" s="16">
        <f t="shared" si="37"/>
        <v>0</v>
      </c>
      <c r="L454" s="16">
        <f t="shared" si="38"/>
        <v>0</v>
      </c>
    </row>
    <row r="455" spans="1:12" x14ac:dyDescent="0.25">
      <c r="A455" t="s">
        <v>393</v>
      </c>
      <c r="B455" s="50">
        <f>P331</f>
        <v>44.871000000000002</v>
      </c>
      <c r="C455">
        <f>B320</f>
        <v>150.09</v>
      </c>
      <c r="E455">
        <f>SUM(D389:D408)/1000</f>
        <v>201.53800000000001</v>
      </c>
    </row>
    <row r="457" spans="1:12" x14ac:dyDescent="0.25">
      <c r="A457" s="15" t="s">
        <v>391</v>
      </c>
    </row>
    <row r="458" spans="1:12" x14ac:dyDescent="0.25">
      <c r="B458" s="150" t="s">
        <v>389</v>
      </c>
      <c r="C458" s="150"/>
      <c r="D458" s="150"/>
      <c r="E458" s="150"/>
    </row>
    <row r="459" spans="1:12" x14ac:dyDescent="0.25">
      <c r="B459" t="s">
        <v>385</v>
      </c>
      <c r="C459" t="s">
        <v>386</v>
      </c>
      <c r="D459" t="s">
        <v>387</v>
      </c>
      <c r="E459" t="s">
        <v>388</v>
      </c>
    </row>
    <row r="460" spans="1:12" x14ac:dyDescent="0.25">
      <c r="A460" t="s">
        <v>105</v>
      </c>
      <c r="B460" s="13">
        <v>0.13500000000000001</v>
      </c>
      <c r="C460" s="13">
        <v>0.32400000000000001</v>
      </c>
      <c r="D460" s="13">
        <v>3.2399999999999998E-2</v>
      </c>
      <c r="E460" s="13">
        <v>0</v>
      </c>
    </row>
    <row r="461" spans="1:12" x14ac:dyDescent="0.25">
      <c r="A461" t="s">
        <v>107</v>
      </c>
      <c r="B461" s="13">
        <v>4.4999999999999998E-2</v>
      </c>
      <c r="C461" s="13">
        <v>0.108</v>
      </c>
      <c r="D461" s="13">
        <v>1.0800000000000001E-2</v>
      </c>
      <c r="E461" s="13">
        <v>0</v>
      </c>
    </row>
    <row r="462" spans="1:12" x14ac:dyDescent="0.25">
      <c r="A462" t="s">
        <v>96</v>
      </c>
      <c r="B462" s="13">
        <v>7.6499999999999999E-2</v>
      </c>
      <c r="C462" s="13">
        <v>0.17849999999999999</v>
      </c>
      <c r="D462" s="13">
        <v>1.7899999999999999E-2</v>
      </c>
      <c r="E462" s="13">
        <v>0</v>
      </c>
    </row>
    <row r="463" spans="1:12" x14ac:dyDescent="0.25">
      <c r="A463" t="s">
        <v>117</v>
      </c>
      <c r="B463" s="13">
        <v>8.0999999999999996E-3</v>
      </c>
      <c r="C463" s="13">
        <v>1.89E-2</v>
      </c>
      <c r="D463" s="13">
        <v>1.9E-3</v>
      </c>
      <c r="E463" s="13">
        <v>0</v>
      </c>
    </row>
    <row r="464" spans="1:12" x14ac:dyDescent="0.25">
      <c r="A464" t="s">
        <v>108</v>
      </c>
      <c r="B464" s="13">
        <v>0</v>
      </c>
      <c r="C464" s="13">
        <v>0</v>
      </c>
      <c r="D464" s="13">
        <v>0.03</v>
      </c>
      <c r="E464" s="13">
        <v>2.3E-3</v>
      </c>
    </row>
    <row r="465" spans="1:5" x14ac:dyDescent="0.25">
      <c r="A465" t="s">
        <v>106</v>
      </c>
      <c r="B465" s="13">
        <v>0</v>
      </c>
      <c r="C465" s="13">
        <v>0</v>
      </c>
      <c r="D465">
        <v>0</v>
      </c>
      <c r="E465" s="13">
        <v>2.7000000000000001E-3</v>
      </c>
    </row>
    <row r="466" spans="1:5" x14ac:dyDescent="0.25">
      <c r="A466" t="s">
        <v>92</v>
      </c>
      <c r="B466" s="13">
        <v>0</v>
      </c>
      <c r="C466" s="13">
        <v>0</v>
      </c>
      <c r="D466" s="13">
        <v>0</v>
      </c>
      <c r="E466" s="13">
        <v>0</v>
      </c>
    </row>
    <row r="467" spans="1:5" x14ac:dyDescent="0.25">
      <c r="A467" t="s">
        <v>91</v>
      </c>
      <c r="B467" s="13">
        <v>0</v>
      </c>
      <c r="C467" s="13">
        <v>0</v>
      </c>
      <c r="D467" s="13">
        <v>0</v>
      </c>
      <c r="E467" s="13">
        <v>0</v>
      </c>
    </row>
    <row r="468" spans="1:5" x14ac:dyDescent="0.25">
      <c r="A468" t="s">
        <v>97</v>
      </c>
      <c r="B468" s="13">
        <v>3.9149999999999998E-4</v>
      </c>
      <c r="C468" s="13">
        <v>9.3150000000000004E-4</v>
      </c>
      <c r="D468" s="13">
        <v>9.3200000000000002E-5</v>
      </c>
      <c r="E468" s="13">
        <v>0</v>
      </c>
    </row>
    <row r="469" spans="1:5" x14ac:dyDescent="0.25">
      <c r="A469" t="s">
        <v>99</v>
      </c>
      <c r="B469" s="13">
        <v>0</v>
      </c>
      <c r="C469">
        <v>0</v>
      </c>
      <c r="D469">
        <v>0</v>
      </c>
      <c r="E469" s="13">
        <v>0</v>
      </c>
    </row>
    <row r="470" spans="1:5" x14ac:dyDescent="0.25">
      <c r="A470" t="s">
        <v>100</v>
      </c>
      <c r="B470" s="13">
        <v>0</v>
      </c>
      <c r="C470" s="13">
        <v>0</v>
      </c>
      <c r="D470" s="13">
        <v>0</v>
      </c>
      <c r="E470" s="13">
        <v>0</v>
      </c>
    </row>
    <row r="471" spans="1:5" x14ac:dyDescent="0.25">
      <c r="A471" t="s">
        <v>353</v>
      </c>
      <c r="B471">
        <v>6.3</v>
      </c>
      <c r="C471" s="13">
        <v>11.3</v>
      </c>
      <c r="D471" s="13">
        <v>1.1000000000000001</v>
      </c>
      <c r="E471" s="13">
        <v>0</v>
      </c>
    </row>
    <row r="474" spans="1:5" x14ac:dyDescent="0.25">
      <c r="A474" s="15" t="s">
        <v>392</v>
      </c>
    </row>
    <row r="475" spans="1:5" x14ac:dyDescent="0.25">
      <c r="B475" s="150" t="s">
        <v>389</v>
      </c>
      <c r="C475" s="150"/>
      <c r="D475" s="150"/>
      <c r="E475" s="150"/>
    </row>
    <row r="476" spans="1:5" x14ac:dyDescent="0.25">
      <c r="B476" t="s">
        <v>385</v>
      </c>
      <c r="C476" t="s">
        <v>386</v>
      </c>
      <c r="D476" t="s">
        <v>387</v>
      </c>
      <c r="E476" t="s">
        <v>388</v>
      </c>
    </row>
    <row r="477" spans="1:5" x14ac:dyDescent="0.25">
      <c r="A477" t="s">
        <v>105</v>
      </c>
      <c r="B477" s="13">
        <v>0.108</v>
      </c>
      <c r="C477" s="13">
        <v>259.2</v>
      </c>
      <c r="D477" s="13">
        <v>2.5899999999999999E-2</v>
      </c>
      <c r="E477" s="13">
        <v>0</v>
      </c>
    </row>
    <row r="478" spans="1:5" x14ac:dyDescent="0.25">
      <c r="A478" t="s">
        <v>107</v>
      </c>
      <c r="B478" s="13">
        <v>3.5999999999999997E-2</v>
      </c>
      <c r="C478" s="13">
        <v>8.6400000000000005E-2</v>
      </c>
      <c r="D478" s="13">
        <v>8.6E-3</v>
      </c>
      <c r="E478" s="13">
        <v>0</v>
      </c>
    </row>
    <row r="479" spans="1:5" x14ac:dyDescent="0.25">
      <c r="A479" t="s">
        <v>96</v>
      </c>
      <c r="B479" s="13">
        <v>5.3600000000000002E-2</v>
      </c>
      <c r="C479" s="13">
        <v>0.125</v>
      </c>
      <c r="D479" s="13">
        <v>1.2500000000000001E-2</v>
      </c>
      <c r="E479" s="13">
        <v>0</v>
      </c>
    </row>
    <row r="480" spans="1:5" x14ac:dyDescent="0.25">
      <c r="A480" t="s">
        <v>117</v>
      </c>
      <c r="B480" s="13">
        <v>6.4999999999999997E-3</v>
      </c>
      <c r="C480" s="13">
        <v>1.5100000000000001E-2</v>
      </c>
      <c r="D480" s="13">
        <v>1.5E-3</v>
      </c>
      <c r="E480" s="13">
        <v>0</v>
      </c>
    </row>
    <row r="481" spans="1:14" x14ac:dyDescent="0.25">
      <c r="A481" t="s">
        <v>108</v>
      </c>
      <c r="B481" s="13">
        <v>0</v>
      </c>
      <c r="C481" s="13">
        <v>0</v>
      </c>
      <c r="D481" s="13">
        <v>0.01</v>
      </c>
      <c r="E481" s="13">
        <v>2.3E-3</v>
      </c>
    </row>
    <row r="482" spans="1:14" x14ac:dyDescent="0.25">
      <c r="A482" t="s">
        <v>106</v>
      </c>
      <c r="B482" s="13">
        <v>0</v>
      </c>
      <c r="C482" s="13">
        <v>0</v>
      </c>
      <c r="D482">
        <v>0</v>
      </c>
      <c r="E482" s="13">
        <v>2.7000000000000001E-3</v>
      </c>
    </row>
    <row r="483" spans="1:14" x14ac:dyDescent="0.25">
      <c r="A483" t="s">
        <v>92</v>
      </c>
      <c r="B483" s="13">
        <v>0</v>
      </c>
      <c r="C483" s="13">
        <v>0</v>
      </c>
      <c r="D483" s="13">
        <v>0</v>
      </c>
      <c r="E483" s="13">
        <v>0</v>
      </c>
    </row>
    <row r="484" spans="1:14" x14ac:dyDescent="0.25">
      <c r="A484" t="s">
        <v>91</v>
      </c>
      <c r="B484" s="13">
        <v>0</v>
      </c>
      <c r="C484" s="13">
        <v>0</v>
      </c>
      <c r="D484" s="13">
        <v>0</v>
      </c>
      <c r="E484" s="13">
        <v>0</v>
      </c>
    </row>
    <row r="485" spans="1:14" x14ac:dyDescent="0.25">
      <c r="A485" t="s">
        <v>97</v>
      </c>
      <c r="B485" s="13">
        <v>3.524E-4</v>
      </c>
      <c r="C485" s="13">
        <v>8.384E-4</v>
      </c>
      <c r="D485" s="13">
        <v>8.3800000000000004E-5</v>
      </c>
      <c r="E485" s="13">
        <v>0</v>
      </c>
    </row>
    <row r="486" spans="1:14" x14ac:dyDescent="0.25">
      <c r="A486" t="s">
        <v>99</v>
      </c>
      <c r="B486" s="13">
        <v>0</v>
      </c>
      <c r="C486">
        <v>0</v>
      </c>
      <c r="D486">
        <v>0</v>
      </c>
      <c r="E486" s="13">
        <v>0</v>
      </c>
    </row>
    <row r="487" spans="1:14" x14ac:dyDescent="0.25">
      <c r="A487" t="s">
        <v>100</v>
      </c>
      <c r="B487" s="13">
        <v>0</v>
      </c>
      <c r="C487" s="13">
        <v>0</v>
      </c>
      <c r="D487" s="13">
        <v>0</v>
      </c>
      <c r="E487" s="13">
        <v>0</v>
      </c>
    </row>
    <row r="488" spans="1:14" x14ac:dyDescent="0.25">
      <c r="A488" t="s">
        <v>353</v>
      </c>
      <c r="B488">
        <v>5.7</v>
      </c>
      <c r="C488" s="13">
        <v>10.199999999999999</v>
      </c>
      <c r="D488" s="13">
        <v>1</v>
      </c>
      <c r="E488" s="13">
        <v>0</v>
      </c>
    </row>
    <row r="492" spans="1:14" x14ac:dyDescent="0.25">
      <c r="A492" s="6" t="s">
        <v>396</v>
      </c>
      <c r="B492" s="6"/>
      <c r="C492" s="6"/>
      <c r="D492" s="6"/>
      <c r="E492" s="6"/>
      <c r="F492" s="6"/>
      <c r="G492" s="6"/>
      <c r="H492" s="6"/>
      <c r="I492" s="6"/>
      <c r="J492" s="6"/>
      <c r="K492" s="6"/>
      <c r="L492" s="6"/>
      <c r="M492" s="6"/>
      <c r="N492" s="6"/>
    </row>
    <row r="493" spans="1:14" x14ac:dyDescent="0.25">
      <c r="A493" s="30" t="s">
        <v>397</v>
      </c>
      <c r="B493" s="6"/>
      <c r="C493" s="6"/>
      <c r="D493" s="6"/>
      <c r="E493" s="6"/>
      <c r="F493" s="6"/>
      <c r="G493" s="6"/>
      <c r="H493" s="6"/>
      <c r="I493" s="6"/>
      <c r="J493" s="6"/>
      <c r="K493" s="6"/>
      <c r="L493" s="6"/>
      <c r="M493" s="6"/>
      <c r="N493" s="6"/>
    </row>
    <row r="494" spans="1:14" x14ac:dyDescent="0.25">
      <c r="A494" s="18" t="s">
        <v>398</v>
      </c>
    </row>
    <row r="496" spans="1:14" x14ac:dyDescent="0.25">
      <c r="A496" t="s">
        <v>417</v>
      </c>
    </row>
    <row r="499" spans="1:14" x14ac:dyDescent="0.25">
      <c r="A499" s="5" t="s">
        <v>399</v>
      </c>
      <c r="B499" s="5"/>
      <c r="C499" s="5"/>
      <c r="D499" s="5"/>
      <c r="E499" s="5"/>
      <c r="F499" s="5"/>
      <c r="G499" s="5"/>
      <c r="H499" s="5"/>
      <c r="I499" s="5"/>
      <c r="J499" s="5"/>
      <c r="K499" s="5"/>
      <c r="L499" s="5"/>
      <c r="M499" s="5"/>
      <c r="N499" s="5"/>
    </row>
    <row r="500" spans="1:14" x14ac:dyDescent="0.25">
      <c r="A500" s="29" t="s">
        <v>400</v>
      </c>
      <c r="B500" s="5"/>
      <c r="C500" s="5"/>
      <c r="D500" s="5"/>
      <c r="E500" s="5"/>
      <c r="F500" s="5"/>
      <c r="G500" s="5"/>
      <c r="H500" s="5"/>
      <c r="I500" s="5"/>
      <c r="J500" s="5"/>
      <c r="K500" s="5"/>
      <c r="L500" s="5"/>
      <c r="M500" s="5"/>
      <c r="N500" s="5"/>
    </row>
    <row r="501" spans="1:14" x14ac:dyDescent="0.25">
      <c r="A501" s="18" t="s">
        <v>401</v>
      </c>
    </row>
    <row r="502" spans="1:14" x14ac:dyDescent="0.25">
      <c r="A502" t="s">
        <v>431</v>
      </c>
    </row>
    <row r="505" spans="1:14" x14ac:dyDescent="0.25">
      <c r="A505" t="s">
        <v>429</v>
      </c>
    </row>
    <row r="506" spans="1:14" x14ac:dyDescent="0.25">
      <c r="B506" t="s">
        <v>428</v>
      </c>
      <c r="C506" t="s">
        <v>432</v>
      </c>
      <c r="D506" t="s">
        <v>433</v>
      </c>
      <c r="E506" s="15" t="s">
        <v>435</v>
      </c>
      <c r="F506" t="s">
        <v>437</v>
      </c>
      <c r="G506" t="s">
        <v>434</v>
      </c>
      <c r="H506" s="15" t="s">
        <v>436</v>
      </c>
    </row>
    <row r="507" spans="1:14" x14ac:dyDescent="0.25">
      <c r="A507" t="s">
        <v>430</v>
      </c>
      <c r="B507">
        <v>2</v>
      </c>
      <c r="C507" s="19">
        <v>0.28999999999999998</v>
      </c>
      <c r="D507">
        <f>B507*C507</f>
        <v>0.57999999999999996</v>
      </c>
      <c r="E507" s="16">
        <f>D507/G245</f>
        <v>1.0943396226415094E-2</v>
      </c>
      <c r="F507" s="51">
        <v>0.04</v>
      </c>
      <c r="G507">
        <f>B507*F507</f>
        <v>0.08</v>
      </c>
      <c r="H507" s="16">
        <f>G507/G245</f>
        <v>1.5094339622641509E-3</v>
      </c>
    </row>
    <row r="508" spans="1:14" x14ac:dyDescent="0.25">
      <c r="A508" t="s">
        <v>517</v>
      </c>
      <c r="B508">
        <v>2.375</v>
      </c>
      <c r="C508" s="19">
        <v>0.29399999999999998</v>
      </c>
      <c r="D508">
        <f>B508*C508</f>
        <v>0.69824999999999993</v>
      </c>
      <c r="E508" s="16">
        <f>D508/G245</f>
        <v>1.3174528301886791E-2</v>
      </c>
      <c r="F508" s="51">
        <v>3.5499999999999997E-2</v>
      </c>
      <c r="G508">
        <f>B508*F508</f>
        <v>8.4312499999999999E-2</v>
      </c>
      <c r="H508" s="16">
        <f>G508/G245</f>
        <v>1.5908018867924528E-3</v>
      </c>
    </row>
    <row r="511" spans="1:14" x14ac:dyDescent="0.25">
      <c r="A511" t="s">
        <v>438</v>
      </c>
    </row>
    <row r="512" spans="1:14" x14ac:dyDescent="0.25">
      <c r="B512" t="s">
        <v>428</v>
      </c>
      <c r="C512" t="s">
        <v>432</v>
      </c>
      <c r="D512" t="s">
        <v>433</v>
      </c>
      <c r="E512" s="15" t="s">
        <v>435</v>
      </c>
      <c r="F512" t="s">
        <v>437</v>
      </c>
      <c r="G512" t="s">
        <v>434</v>
      </c>
      <c r="H512" s="15" t="s">
        <v>436</v>
      </c>
    </row>
    <row r="513" spans="1:14" x14ac:dyDescent="0.25">
      <c r="A513" t="s">
        <v>430</v>
      </c>
      <c r="B513">
        <v>0.3</v>
      </c>
      <c r="C513" s="19">
        <v>0.3</v>
      </c>
      <c r="D513">
        <f>B513*C513</f>
        <v>0.09</v>
      </c>
      <c r="E513" s="16">
        <f>D513/C516</f>
        <v>1.125E-2</v>
      </c>
      <c r="F513" s="51">
        <v>0.04</v>
      </c>
      <c r="G513">
        <f>B513*F513</f>
        <v>1.2E-2</v>
      </c>
      <c r="H513" s="16">
        <f>G513/C516</f>
        <v>1.5E-3</v>
      </c>
    </row>
    <row r="514" spans="1:14" x14ac:dyDescent="0.25">
      <c r="A514" t="s">
        <v>517</v>
      </c>
      <c r="B514">
        <v>0.3</v>
      </c>
      <c r="C514" s="19">
        <v>0.3</v>
      </c>
      <c r="D514">
        <f>B514*C514</f>
        <v>0.09</v>
      </c>
      <c r="E514" s="16">
        <f>D514/C516</f>
        <v>1.125E-2</v>
      </c>
      <c r="F514" s="51">
        <v>0.04</v>
      </c>
      <c r="G514">
        <f>B514*F514</f>
        <v>1.2E-2</v>
      </c>
      <c r="H514" s="16">
        <f>G514/C516</f>
        <v>1.5E-3</v>
      </c>
    </row>
    <row r="516" spans="1:14" x14ac:dyDescent="0.25">
      <c r="A516" t="s">
        <v>439</v>
      </c>
      <c r="C516">
        <v>8</v>
      </c>
      <c r="D516" t="s">
        <v>227</v>
      </c>
    </row>
    <row r="519" spans="1:14" x14ac:dyDescent="0.25">
      <c r="A519" s="5" t="s">
        <v>403</v>
      </c>
      <c r="B519" s="5"/>
      <c r="C519" s="5"/>
      <c r="D519" s="5"/>
      <c r="E519" s="5"/>
      <c r="F519" s="5"/>
      <c r="G519" s="5"/>
      <c r="H519" s="5"/>
      <c r="I519" s="5"/>
      <c r="J519" s="5"/>
      <c r="K519" s="5"/>
      <c r="L519" s="5"/>
      <c r="M519" s="5"/>
      <c r="N519" s="5"/>
    </row>
    <row r="520" spans="1:14" x14ac:dyDescent="0.25">
      <c r="A520" s="29" t="s">
        <v>402</v>
      </c>
      <c r="B520" s="5"/>
      <c r="C520" s="5"/>
      <c r="D520" s="5"/>
      <c r="E520" s="5"/>
      <c r="F520" s="5"/>
      <c r="G520" s="5"/>
      <c r="H520" s="5"/>
      <c r="I520" s="5"/>
      <c r="J520" s="5"/>
      <c r="K520" s="5"/>
      <c r="L520" s="5"/>
      <c r="M520" s="5"/>
      <c r="N520" s="5"/>
    </row>
    <row r="521" spans="1:14" x14ac:dyDescent="0.25">
      <c r="A521" s="18" t="s">
        <v>412</v>
      </c>
    </row>
    <row r="522" spans="1:14" x14ac:dyDescent="0.25">
      <c r="A522" t="s">
        <v>418</v>
      </c>
    </row>
    <row r="523" spans="1:14" x14ac:dyDescent="0.25">
      <c r="A523" s="18"/>
    </row>
    <row r="524" spans="1:14" x14ac:dyDescent="0.25">
      <c r="A524" t="s">
        <v>16</v>
      </c>
      <c r="B524" t="s">
        <v>423</v>
      </c>
      <c r="C524" t="s">
        <v>426</v>
      </c>
      <c r="D524" t="s">
        <v>424</v>
      </c>
      <c r="E524" t="s">
        <v>425</v>
      </c>
      <c r="F524" t="s">
        <v>518</v>
      </c>
    </row>
    <row r="525" spans="1:14" x14ac:dyDescent="0.25">
      <c r="A525" t="s">
        <v>105</v>
      </c>
      <c r="B525">
        <f>0.29*B530</f>
        <v>0.43499999999999994</v>
      </c>
      <c r="C525">
        <f>B525/1.5</f>
        <v>0.28999999999999998</v>
      </c>
      <c r="D525" s="13">
        <f>B525/G245</f>
        <v>8.2075471698113203E-3</v>
      </c>
      <c r="E525">
        <f>B531*B534*0.29</f>
        <v>6.8555999999999992E-2</v>
      </c>
      <c r="F525" s="13">
        <f>E525/G245</f>
        <v>1.2935094339622641E-3</v>
      </c>
    </row>
    <row r="526" spans="1:14" x14ac:dyDescent="0.25">
      <c r="A526" t="s">
        <v>96</v>
      </c>
      <c r="B526">
        <f>0.09*B530</f>
        <v>0.13500000000000001</v>
      </c>
      <c r="C526">
        <f>B526/1.5</f>
        <v>9.0000000000000011E-2</v>
      </c>
      <c r="D526" s="13">
        <f>B526/G245</f>
        <v>2.5471698113207547E-3</v>
      </c>
      <c r="E526">
        <f>B531*B534*0.09</f>
        <v>2.1276E-2</v>
      </c>
      <c r="F526" s="13">
        <f>E526/G245</f>
        <v>4.0143396226415093E-4</v>
      </c>
    </row>
    <row r="530" spans="1:14" x14ac:dyDescent="0.25">
      <c r="A530" t="s">
        <v>419</v>
      </c>
      <c r="B530">
        <v>1.5</v>
      </c>
      <c r="C530" t="s">
        <v>227</v>
      </c>
    </row>
    <row r="531" spans="1:14" x14ac:dyDescent="0.25">
      <c r="A531" t="s">
        <v>420</v>
      </c>
      <c r="B531">
        <f>0.01182</f>
        <v>1.1820000000000001E-2</v>
      </c>
      <c r="C531" t="s">
        <v>427</v>
      </c>
    </row>
    <row r="534" spans="1:14" x14ac:dyDescent="0.25">
      <c r="A534" t="s">
        <v>421</v>
      </c>
      <c r="B534">
        <v>20</v>
      </c>
      <c r="C534" t="s">
        <v>422</v>
      </c>
    </row>
    <row r="539" spans="1:14" x14ac:dyDescent="0.25">
      <c r="A539" s="6" t="s">
        <v>405</v>
      </c>
      <c r="B539" s="6"/>
      <c r="C539" s="6"/>
      <c r="D539" s="6"/>
      <c r="E539" s="6"/>
      <c r="F539" s="6"/>
      <c r="G539" s="6"/>
      <c r="H539" s="6"/>
      <c r="I539" s="6"/>
      <c r="J539" s="6"/>
      <c r="K539" s="6"/>
      <c r="L539" s="6"/>
      <c r="M539" s="6"/>
      <c r="N539" s="6"/>
    </row>
    <row r="540" spans="1:14" x14ac:dyDescent="0.25">
      <c r="A540" s="30" t="s">
        <v>404</v>
      </c>
      <c r="B540" s="6"/>
      <c r="C540" s="6"/>
      <c r="D540" s="6"/>
      <c r="E540" s="6"/>
      <c r="F540" s="6"/>
      <c r="G540" s="6"/>
      <c r="H540" s="6"/>
      <c r="I540" s="6"/>
      <c r="J540" s="6"/>
      <c r="K540" s="6"/>
      <c r="L540" s="6"/>
      <c r="M540" s="6"/>
      <c r="N540" s="6"/>
    </row>
    <row r="541" spans="1:14" x14ac:dyDescent="0.25">
      <c r="A541" s="18" t="s">
        <v>413</v>
      </c>
    </row>
    <row r="542" spans="1:14" x14ac:dyDescent="0.25">
      <c r="A542" t="s">
        <v>441</v>
      </c>
    </row>
    <row r="545" spans="1:14" x14ac:dyDescent="0.25">
      <c r="A545" s="10" t="s">
        <v>442</v>
      </c>
      <c r="B545" s="10"/>
      <c r="C545" s="10"/>
      <c r="D545" s="10"/>
      <c r="E545" s="10"/>
      <c r="F545" s="10"/>
      <c r="G545" s="10"/>
      <c r="H545" s="10"/>
      <c r="I545" s="10"/>
      <c r="J545" s="10"/>
      <c r="K545" s="10"/>
      <c r="L545" s="10"/>
      <c r="M545" s="10"/>
      <c r="N545" s="10"/>
    </row>
    <row r="546" spans="1:14" x14ac:dyDescent="0.25">
      <c r="A546" s="52" t="s">
        <v>443</v>
      </c>
      <c r="B546" s="10"/>
      <c r="C546" s="10"/>
      <c r="D546" s="10"/>
      <c r="E546" s="10"/>
      <c r="F546" s="10"/>
      <c r="G546" s="10"/>
      <c r="H546" s="10"/>
      <c r="I546" s="10"/>
      <c r="J546" s="10"/>
      <c r="K546" s="10"/>
      <c r="L546" s="10"/>
      <c r="M546" s="10"/>
      <c r="N546" s="10"/>
    </row>
    <row r="547" spans="1:14" x14ac:dyDescent="0.25">
      <c r="A547" s="18" t="s">
        <v>444</v>
      </c>
    </row>
    <row r="548" spans="1:14" x14ac:dyDescent="0.25">
      <c r="A548" t="s">
        <v>445</v>
      </c>
    </row>
    <row r="550" spans="1:14" x14ac:dyDescent="0.25">
      <c r="B550" t="s">
        <v>446</v>
      </c>
      <c r="C550" t="s">
        <v>447</v>
      </c>
      <c r="D550" t="s">
        <v>446</v>
      </c>
      <c r="E550" t="s">
        <v>447</v>
      </c>
    </row>
    <row r="551" spans="1:14" x14ac:dyDescent="0.25">
      <c r="A551" t="s">
        <v>16</v>
      </c>
      <c r="B551" t="s">
        <v>255</v>
      </c>
      <c r="C551" t="s">
        <v>255</v>
      </c>
      <c r="D551" s="15" t="s">
        <v>228</v>
      </c>
      <c r="E551" s="15" t="s">
        <v>228</v>
      </c>
    </row>
    <row r="552" spans="1:14" x14ac:dyDescent="0.25">
      <c r="A552" t="s">
        <v>105</v>
      </c>
      <c r="B552">
        <v>0.15</v>
      </c>
      <c r="C552">
        <v>0.36</v>
      </c>
      <c r="D552" s="16">
        <f>B552/G$245</f>
        <v>2.8301886792452828E-3</v>
      </c>
      <c r="E552" s="16">
        <f>C552/B$320</f>
        <v>2.3985608634819106E-3</v>
      </c>
    </row>
    <row r="553" spans="1:14" x14ac:dyDescent="0.25">
      <c r="A553" t="s">
        <v>107</v>
      </c>
      <c r="B553">
        <v>0.05</v>
      </c>
      <c r="C553">
        <v>0.12</v>
      </c>
      <c r="D553" s="16">
        <f t="shared" ref="D553:D556" si="39">B553/G$245</f>
        <v>9.4339622641509435E-4</v>
      </c>
      <c r="E553" s="16">
        <f t="shared" ref="E553:E556" si="40">C553/B$320</f>
        <v>7.9952028782730362E-4</v>
      </c>
    </row>
    <row r="554" spans="1:14" x14ac:dyDescent="0.25">
      <c r="A554" t="s">
        <v>96</v>
      </c>
      <c r="B554">
        <v>0.09</v>
      </c>
      <c r="C554">
        <v>0.21</v>
      </c>
      <c r="D554" s="16">
        <f t="shared" si="39"/>
        <v>1.6981132075471698E-3</v>
      </c>
      <c r="E554" s="16">
        <f t="shared" si="40"/>
        <v>1.3991605036977812E-3</v>
      </c>
    </row>
    <row r="555" spans="1:14" x14ac:dyDescent="0.25">
      <c r="A555" t="s">
        <v>117</v>
      </c>
      <c r="B555">
        <v>8.9999999999999993E-3</v>
      </c>
      <c r="C555">
        <v>2.1000000000000001E-2</v>
      </c>
      <c r="D555" s="16">
        <f t="shared" si="39"/>
        <v>1.6981132075471697E-4</v>
      </c>
      <c r="E555" s="16">
        <f t="shared" si="40"/>
        <v>1.3991605036977814E-4</v>
      </c>
    </row>
    <row r="556" spans="1:14" x14ac:dyDescent="0.25">
      <c r="A556" t="s">
        <v>97</v>
      </c>
      <c r="B556">
        <v>4.35E-4</v>
      </c>
      <c r="C556">
        <v>1E-3</v>
      </c>
      <c r="D556" s="16">
        <f t="shared" si="39"/>
        <v>8.2075471698113213E-6</v>
      </c>
      <c r="E556" s="16">
        <f t="shared" si="40"/>
        <v>6.6626690652275305E-6</v>
      </c>
    </row>
    <row r="563" spans="1:14" x14ac:dyDescent="0.25">
      <c r="A563" s="6" t="s">
        <v>406</v>
      </c>
      <c r="B563" s="6"/>
      <c r="C563" s="6"/>
      <c r="D563" s="6"/>
      <c r="E563" s="6"/>
      <c r="F563" s="6"/>
      <c r="G563" s="6"/>
      <c r="H563" s="6"/>
      <c r="I563" s="6"/>
      <c r="J563" s="6"/>
      <c r="K563" s="6"/>
      <c r="L563" s="6"/>
      <c r="M563" s="6"/>
      <c r="N563" s="6"/>
    </row>
    <row r="564" spans="1:14" x14ac:dyDescent="0.25">
      <c r="A564" s="30" t="s">
        <v>407</v>
      </c>
      <c r="B564" s="6"/>
      <c r="C564" s="6"/>
      <c r="D564" s="6"/>
      <c r="E564" s="6"/>
      <c r="F564" s="6"/>
      <c r="G564" s="6"/>
      <c r="H564" s="6"/>
      <c r="I564" s="6"/>
      <c r="J564" s="6"/>
      <c r="K564" s="6"/>
      <c r="L564" s="6"/>
      <c r="M564" s="6"/>
      <c r="N564" s="6"/>
    </row>
    <row r="565" spans="1:14" x14ac:dyDescent="0.25">
      <c r="A565" s="18" t="s">
        <v>414</v>
      </c>
    </row>
    <row r="567" spans="1:14" x14ac:dyDescent="0.25">
      <c r="A567" t="s">
        <v>440</v>
      </c>
    </row>
    <row r="569" spans="1:14" x14ac:dyDescent="0.25">
      <c r="A569" s="6" t="s">
        <v>409</v>
      </c>
      <c r="B569" s="6"/>
      <c r="C569" s="6"/>
      <c r="D569" s="6"/>
      <c r="E569" s="6"/>
      <c r="F569" s="6"/>
      <c r="G569" s="6"/>
      <c r="H569" s="6"/>
      <c r="I569" s="6"/>
      <c r="J569" s="6"/>
      <c r="K569" s="6"/>
      <c r="L569" s="6"/>
      <c r="M569" s="6"/>
      <c r="N569" s="6"/>
    </row>
    <row r="570" spans="1:14" x14ac:dyDescent="0.25">
      <c r="A570" s="30" t="s">
        <v>408</v>
      </c>
      <c r="B570" s="6"/>
      <c r="C570" s="6"/>
      <c r="D570" s="6"/>
      <c r="E570" s="6"/>
      <c r="F570" s="6"/>
      <c r="G570" s="6"/>
      <c r="H570" s="6"/>
      <c r="I570" s="6"/>
      <c r="J570" s="6"/>
      <c r="K570" s="6"/>
      <c r="L570" s="6"/>
      <c r="M570" s="6"/>
      <c r="N570" s="6"/>
    </row>
    <row r="571" spans="1:14" x14ac:dyDescent="0.25">
      <c r="A571" s="18" t="s">
        <v>415</v>
      </c>
    </row>
    <row r="573" spans="1:14" x14ac:dyDescent="0.25">
      <c r="A573" t="s">
        <v>448</v>
      </c>
    </row>
    <row r="577" spans="1:14" x14ac:dyDescent="0.25">
      <c r="A577" s="55" t="s">
        <v>410</v>
      </c>
      <c r="B577" s="55"/>
      <c r="C577" s="55"/>
      <c r="D577" s="55"/>
      <c r="E577" s="55"/>
      <c r="F577" s="55"/>
      <c r="G577" s="55"/>
      <c r="H577" s="55"/>
      <c r="I577" s="55"/>
      <c r="J577" s="55"/>
      <c r="K577" s="55"/>
      <c r="L577" s="55"/>
      <c r="M577" s="55"/>
      <c r="N577" s="55"/>
    </row>
    <row r="578" spans="1:14" x14ac:dyDescent="0.25">
      <c r="A578" s="56" t="s">
        <v>411</v>
      </c>
      <c r="B578" s="55"/>
      <c r="C578" s="55"/>
      <c r="D578" s="55"/>
      <c r="E578" s="55"/>
      <c r="F578" s="55"/>
      <c r="G578" s="55"/>
      <c r="H578" s="55"/>
      <c r="I578" s="55"/>
      <c r="J578" s="55"/>
      <c r="K578" s="55"/>
      <c r="L578" s="55"/>
      <c r="M578" s="55"/>
      <c r="N578" s="55"/>
    </row>
    <row r="579" spans="1:14" x14ac:dyDescent="0.25">
      <c r="A579" s="18" t="s">
        <v>416</v>
      </c>
    </row>
    <row r="580" spans="1:14" x14ac:dyDescent="0.25">
      <c r="A580" t="s">
        <v>455</v>
      </c>
      <c r="F580" s="15" t="s">
        <v>460</v>
      </c>
    </row>
    <row r="582" spans="1:14" x14ac:dyDescent="0.25">
      <c r="A582" t="s">
        <v>451</v>
      </c>
    </row>
    <row r="583" spans="1:14" x14ac:dyDescent="0.25">
      <c r="A583" t="s">
        <v>16</v>
      </c>
      <c r="B583" t="s">
        <v>449</v>
      </c>
      <c r="C583" t="s">
        <v>450</v>
      </c>
      <c r="D583" t="s">
        <v>458</v>
      </c>
      <c r="E583" t="s">
        <v>452</v>
      </c>
      <c r="F583" t="s">
        <v>453</v>
      </c>
    </row>
    <row r="584" spans="1:14" x14ac:dyDescent="0.25">
      <c r="A584" t="s">
        <v>102</v>
      </c>
      <c r="B584">
        <f>(4.52+7.81)/2</f>
        <v>6.1649999999999991</v>
      </c>
      <c r="C584">
        <f>(0.09+0.16)/2</f>
        <v>0.125</v>
      </c>
      <c r="D584">
        <f>(0.77+1.33)/2</f>
        <v>1.05</v>
      </c>
      <c r="E584">
        <v>0</v>
      </c>
      <c r="F584">
        <f>(0.12+0.21)/2</f>
        <v>0.16499999999999998</v>
      </c>
    </row>
    <row r="585" spans="1:14" x14ac:dyDescent="0.25">
      <c r="A585" t="s">
        <v>352</v>
      </c>
      <c r="B585">
        <f>(0+46.65)/2</f>
        <v>23.324999999999999</v>
      </c>
      <c r="C585">
        <f>(0+6.67)/2</f>
        <v>3.335</v>
      </c>
      <c r="D585">
        <f>(0+7.97)/2</f>
        <v>3.9849999999999999</v>
      </c>
      <c r="E585">
        <v>0</v>
      </c>
      <c r="F585">
        <f>(0+1.26)/2</f>
        <v>0.63</v>
      </c>
    </row>
    <row r="586" spans="1:14" x14ac:dyDescent="0.25">
      <c r="A586" t="s">
        <v>95</v>
      </c>
      <c r="B586">
        <f>(0+13.91)/2</f>
        <v>6.9550000000000001</v>
      </c>
      <c r="C586">
        <f>(0+1.16)/2</f>
        <v>0.57999999999999996</v>
      </c>
      <c r="D586">
        <f>(0+2.38)/2</f>
        <v>1.19</v>
      </c>
      <c r="E586">
        <v>0</v>
      </c>
      <c r="F586">
        <f>(0+0.38)/2</f>
        <v>0.19</v>
      </c>
    </row>
    <row r="587" spans="1:14" x14ac:dyDescent="0.25">
      <c r="A587" s="24" t="s">
        <v>101</v>
      </c>
      <c r="B587" s="24">
        <v>0</v>
      </c>
      <c r="C587" s="24">
        <f>(0+1.16)/2</f>
        <v>0.57999999999999996</v>
      </c>
      <c r="D587" s="24">
        <v>0</v>
      </c>
      <c r="E587" s="24">
        <v>0</v>
      </c>
      <c r="F587" s="24">
        <v>0</v>
      </c>
    </row>
    <row r="588" spans="1:14" x14ac:dyDescent="0.25">
      <c r="A588" s="15" t="s">
        <v>105</v>
      </c>
      <c r="B588" s="15">
        <v>2.8</v>
      </c>
      <c r="C588" s="15">
        <f>(0.76+1.12)/2</f>
        <v>0.94000000000000006</v>
      </c>
      <c r="D588" s="15">
        <v>1.46</v>
      </c>
      <c r="E588" s="15">
        <v>0.36</v>
      </c>
      <c r="F588" s="15">
        <v>2.91</v>
      </c>
    </row>
    <row r="589" spans="1:14" x14ac:dyDescent="0.25">
      <c r="A589" s="15" t="s">
        <v>107</v>
      </c>
      <c r="B589" s="15">
        <v>0</v>
      </c>
      <c r="C589" s="15">
        <f>(0+0.08)/2</f>
        <v>0.04</v>
      </c>
      <c r="D589" s="15">
        <v>0</v>
      </c>
      <c r="E589" s="15">
        <v>0</v>
      </c>
      <c r="F589" s="15">
        <v>0</v>
      </c>
    </row>
    <row r="590" spans="1:14" x14ac:dyDescent="0.25">
      <c r="A590" t="s">
        <v>113</v>
      </c>
      <c r="B590">
        <v>0</v>
      </c>
      <c r="C590">
        <f>(0+0.08)/2</f>
        <v>0.04</v>
      </c>
      <c r="D590">
        <v>0</v>
      </c>
      <c r="E590">
        <v>0</v>
      </c>
      <c r="F590">
        <v>0</v>
      </c>
    </row>
    <row r="591" spans="1:14" x14ac:dyDescent="0.25">
      <c r="A591" t="s">
        <v>350</v>
      </c>
      <c r="B591">
        <f>(0+60.07)/2</f>
        <v>30.035</v>
      </c>
      <c r="C591">
        <f>(0+1.25)/2</f>
        <v>0.625</v>
      </c>
      <c r="D591">
        <f>(0+10.26)/2</f>
        <v>5.13</v>
      </c>
      <c r="E591">
        <v>0</v>
      </c>
      <c r="F591">
        <f>(0+1.63)/2</f>
        <v>0.81499999999999995</v>
      </c>
    </row>
    <row r="592" spans="1:14" x14ac:dyDescent="0.25">
      <c r="A592" t="s">
        <v>353</v>
      </c>
      <c r="B592">
        <f>(0+71.08)/2</f>
        <v>35.54</v>
      </c>
      <c r="C592">
        <f>(0+1.48)/2</f>
        <v>0.74</v>
      </c>
      <c r="D592">
        <f>(0+1.93)/2</f>
        <v>0.96499999999999997</v>
      </c>
      <c r="E592">
        <v>0</v>
      </c>
      <c r="F592">
        <f>(0+1.93)/2</f>
        <v>0.96499999999999997</v>
      </c>
    </row>
    <row r="593" spans="1:6" x14ac:dyDescent="0.25">
      <c r="A593" t="s">
        <v>456</v>
      </c>
      <c r="B593">
        <f>(0+38.78)/2</f>
        <v>19.39</v>
      </c>
      <c r="C593">
        <f>(0+0.81)/2</f>
        <v>0.40500000000000003</v>
      </c>
      <c r="D593">
        <f>(0+6.63)/2</f>
        <v>3.3149999999999999</v>
      </c>
      <c r="E593">
        <v>0</v>
      </c>
      <c r="F593">
        <f>(0+1.05)/2</f>
        <v>0.52500000000000002</v>
      </c>
    </row>
    <row r="594" spans="1:6" x14ac:dyDescent="0.25">
      <c r="A594" s="15" t="s">
        <v>96</v>
      </c>
      <c r="B594" s="15">
        <v>0.28000000000000003</v>
      </c>
      <c r="C594" s="15">
        <f>(0.14+0.29)/2</f>
        <v>0.215</v>
      </c>
      <c r="D594" s="15">
        <v>0.22</v>
      </c>
      <c r="E594" s="15">
        <v>0.05</v>
      </c>
      <c r="F594" s="15">
        <v>0.43</v>
      </c>
    </row>
    <row r="595" spans="1:6" x14ac:dyDescent="0.25">
      <c r="A595" s="15" t="s">
        <v>454</v>
      </c>
      <c r="B595" s="15">
        <v>0.09</v>
      </c>
      <c r="C595" s="15">
        <v>0.03</v>
      </c>
      <c r="D595" s="15">
        <v>0.04</v>
      </c>
      <c r="E595" s="15">
        <v>0.01</v>
      </c>
      <c r="F595" s="15">
        <v>0.09</v>
      </c>
    </row>
    <row r="596" spans="1:6" x14ac:dyDescent="0.25">
      <c r="A596" t="s">
        <v>457</v>
      </c>
      <c r="B596">
        <f>(0+85.94)/2</f>
        <v>42.97</v>
      </c>
      <c r="C596">
        <f>(0+1.79)/2</f>
        <v>0.89500000000000002</v>
      </c>
      <c r="D596">
        <f>(0+14.68)/2</f>
        <v>7.34</v>
      </c>
      <c r="E596">
        <v>0</v>
      </c>
      <c r="F596">
        <f>(0+2.33)/2</f>
        <v>1.165</v>
      </c>
    </row>
    <row r="597" spans="1:6" x14ac:dyDescent="0.25">
      <c r="A597" t="s">
        <v>94</v>
      </c>
      <c r="B597">
        <v>0</v>
      </c>
      <c r="C597">
        <f>(0+0.77)/2</f>
        <v>0.38500000000000001</v>
      </c>
      <c r="D597">
        <v>0</v>
      </c>
      <c r="E597">
        <v>0</v>
      </c>
      <c r="F597">
        <v>0</v>
      </c>
    </row>
    <row r="600" spans="1:6" x14ac:dyDescent="0.25">
      <c r="A600" t="s">
        <v>459</v>
      </c>
    </row>
    <row r="601" spans="1:6" x14ac:dyDescent="0.25">
      <c r="A601" t="s">
        <v>16</v>
      </c>
      <c r="B601" t="s">
        <v>449</v>
      </c>
      <c r="C601" t="s">
        <v>450</v>
      </c>
      <c r="D601" t="s">
        <v>458</v>
      </c>
      <c r="E601" t="s">
        <v>452</v>
      </c>
      <c r="F601" t="s">
        <v>453</v>
      </c>
    </row>
    <row r="602" spans="1:6" x14ac:dyDescent="0.25">
      <c r="A602" t="s">
        <v>102</v>
      </c>
      <c r="B602">
        <f>B584/70</f>
        <v>8.8071428571428564E-2</v>
      </c>
      <c r="C602">
        <f>C584/25</f>
        <v>5.0000000000000001E-3</v>
      </c>
      <c r="D602">
        <f>D584/40</f>
        <v>2.6250000000000002E-2</v>
      </c>
      <c r="F602">
        <f>F584/90</f>
        <v>1.8333333333333331E-3</v>
      </c>
    </row>
    <row r="603" spans="1:6" x14ac:dyDescent="0.25">
      <c r="A603" t="s">
        <v>352</v>
      </c>
      <c r="B603">
        <f t="shared" ref="B603:B615" si="41">B585/70</f>
        <v>0.33321428571428569</v>
      </c>
      <c r="C603">
        <f t="shared" ref="C603:C615" si="42">C585/25</f>
        <v>0.13339999999999999</v>
      </c>
      <c r="D603">
        <f t="shared" ref="D603:D615" si="43">D585/40</f>
        <v>9.9624999999999991E-2</v>
      </c>
      <c r="F603">
        <f t="shared" ref="F603:F615" si="44">F585/90</f>
        <v>7.0000000000000001E-3</v>
      </c>
    </row>
    <row r="604" spans="1:6" x14ac:dyDescent="0.25">
      <c r="A604" t="s">
        <v>95</v>
      </c>
      <c r="B604">
        <f t="shared" si="41"/>
        <v>9.9357142857142852E-2</v>
      </c>
      <c r="C604">
        <f t="shared" si="42"/>
        <v>2.3199999999999998E-2</v>
      </c>
      <c r="D604">
        <f t="shared" si="43"/>
        <v>2.9749999999999999E-2</v>
      </c>
      <c r="F604">
        <f t="shared" si="44"/>
        <v>2.1111111111111113E-3</v>
      </c>
    </row>
    <row r="605" spans="1:6" x14ac:dyDescent="0.25">
      <c r="A605" s="24" t="s">
        <v>101</v>
      </c>
      <c r="B605">
        <f t="shared" si="41"/>
        <v>0</v>
      </c>
      <c r="C605">
        <f t="shared" si="42"/>
        <v>2.3199999999999998E-2</v>
      </c>
      <c r="D605">
        <f t="shared" si="43"/>
        <v>0</v>
      </c>
      <c r="E605" s="24"/>
      <c r="F605">
        <f t="shared" si="44"/>
        <v>0</v>
      </c>
    </row>
    <row r="606" spans="1:6" x14ac:dyDescent="0.25">
      <c r="A606" s="15" t="s">
        <v>105</v>
      </c>
      <c r="B606">
        <f t="shared" si="41"/>
        <v>0.04</v>
      </c>
      <c r="C606">
        <f t="shared" si="42"/>
        <v>3.7600000000000001E-2</v>
      </c>
      <c r="D606">
        <f t="shared" si="43"/>
        <v>3.6499999999999998E-2</v>
      </c>
      <c r="E606" s="15"/>
      <c r="F606">
        <f t="shared" si="44"/>
        <v>3.2333333333333332E-2</v>
      </c>
    </row>
    <row r="607" spans="1:6" x14ac:dyDescent="0.25">
      <c r="A607" s="15" t="s">
        <v>107</v>
      </c>
      <c r="B607">
        <f t="shared" si="41"/>
        <v>0</v>
      </c>
      <c r="C607">
        <f t="shared" si="42"/>
        <v>1.6000000000000001E-3</v>
      </c>
      <c r="D607">
        <f t="shared" si="43"/>
        <v>0</v>
      </c>
      <c r="E607" s="15"/>
      <c r="F607">
        <f t="shared" si="44"/>
        <v>0</v>
      </c>
    </row>
    <row r="608" spans="1:6" x14ac:dyDescent="0.25">
      <c r="A608" t="s">
        <v>113</v>
      </c>
      <c r="B608">
        <f t="shared" si="41"/>
        <v>0</v>
      </c>
      <c r="C608">
        <f t="shared" si="42"/>
        <v>1.6000000000000001E-3</v>
      </c>
      <c r="D608">
        <f t="shared" si="43"/>
        <v>0</v>
      </c>
      <c r="F608">
        <f t="shared" si="44"/>
        <v>0</v>
      </c>
    </row>
    <row r="609" spans="1:6" x14ac:dyDescent="0.25">
      <c r="A609" t="s">
        <v>350</v>
      </c>
      <c r="B609">
        <f t="shared" si="41"/>
        <v>0.42907142857142855</v>
      </c>
      <c r="C609">
        <f t="shared" si="42"/>
        <v>2.5000000000000001E-2</v>
      </c>
      <c r="D609">
        <f t="shared" si="43"/>
        <v>0.12825</v>
      </c>
      <c r="F609">
        <f t="shared" si="44"/>
        <v>9.0555555555555545E-3</v>
      </c>
    </row>
    <row r="610" spans="1:6" x14ac:dyDescent="0.25">
      <c r="A610" t="s">
        <v>353</v>
      </c>
      <c r="B610">
        <f t="shared" si="41"/>
        <v>0.50771428571428567</v>
      </c>
      <c r="C610">
        <f t="shared" si="42"/>
        <v>2.9600000000000001E-2</v>
      </c>
      <c r="D610">
        <f t="shared" si="43"/>
        <v>2.4125000000000001E-2</v>
      </c>
      <c r="F610">
        <f t="shared" si="44"/>
        <v>1.0722222222222222E-2</v>
      </c>
    </row>
    <row r="611" spans="1:6" x14ac:dyDescent="0.25">
      <c r="A611" t="s">
        <v>456</v>
      </c>
      <c r="B611">
        <f t="shared" si="41"/>
        <v>0.27700000000000002</v>
      </c>
      <c r="C611">
        <f t="shared" si="42"/>
        <v>1.6200000000000003E-2</v>
      </c>
      <c r="D611">
        <f t="shared" si="43"/>
        <v>8.2875000000000004E-2</v>
      </c>
      <c r="F611">
        <f t="shared" si="44"/>
        <v>5.8333333333333336E-3</v>
      </c>
    </row>
    <row r="612" spans="1:6" x14ac:dyDescent="0.25">
      <c r="A612" s="15" t="s">
        <v>96</v>
      </c>
      <c r="B612">
        <f t="shared" si="41"/>
        <v>4.0000000000000001E-3</v>
      </c>
      <c r="C612">
        <f t="shared" si="42"/>
        <v>8.6E-3</v>
      </c>
      <c r="D612">
        <f t="shared" si="43"/>
        <v>5.4999999999999997E-3</v>
      </c>
      <c r="E612" s="15"/>
      <c r="F612">
        <f t="shared" si="44"/>
        <v>4.7777777777777775E-3</v>
      </c>
    </row>
    <row r="613" spans="1:6" x14ac:dyDescent="0.25">
      <c r="A613" s="15" t="s">
        <v>454</v>
      </c>
      <c r="B613">
        <f t="shared" si="41"/>
        <v>1.2857142857142856E-3</v>
      </c>
      <c r="C613">
        <f t="shared" si="42"/>
        <v>1.1999999999999999E-3</v>
      </c>
      <c r="D613">
        <f t="shared" si="43"/>
        <v>1E-3</v>
      </c>
      <c r="E613" s="15"/>
      <c r="F613">
        <f t="shared" si="44"/>
        <v>1E-3</v>
      </c>
    </row>
    <row r="614" spans="1:6" x14ac:dyDescent="0.25">
      <c r="A614" t="s">
        <v>457</v>
      </c>
      <c r="B614">
        <f t="shared" si="41"/>
        <v>0.61385714285714288</v>
      </c>
      <c r="C614">
        <f t="shared" si="42"/>
        <v>3.5799999999999998E-2</v>
      </c>
      <c r="D614">
        <f t="shared" si="43"/>
        <v>0.1835</v>
      </c>
      <c r="F614">
        <f t="shared" si="44"/>
        <v>1.2944444444444444E-2</v>
      </c>
    </row>
    <row r="615" spans="1:6" x14ac:dyDescent="0.25">
      <c r="A615" t="s">
        <v>94</v>
      </c>
      <c r="B615">
        <f t="shared" si="41"/>
        <v>0</v>
      </c>
      <c r="C615">
        <f t="shared" si="42"/>
        <v>1.54E-2</v>
      </c>
      <c r="D615">
        <f t="shared" si="43"/>
        <v>0</v>
      </c>
      <c r="F615">
        <f t="shared" si="44"/>
        <v>0</v>
      </c>
    </row>
    <row r="618" spans="1:6" x14ac:dyDescent="0.25">
      <c r="A618" s="54" t="s">
        <v>228</v>
      </c>
      <c r="B618" s="15"/>
      <c r="C618" s="15"/>
      <c r="D618" s="15"/>
      <c r="E618" s="15"/>
      <c r="F618" s="15"/>
    </row>
    <row r="619" spans="1:6" x14ac:dyDescent="0.25">
      <c r="A619" s="15" t="s">
        <v>16</v>
      </c>
      <c r="B619" s="15" t="s">
        <v>449</v>
      </c>
      <c r="C619" s="15" t="s">
        <v>450</v>
      </c>
      <c r="D619" s="15" t="s">
        <v>458</v>
      </c>
      <c r="E619" s="15" t="s">
        <v>452</v>
      </c>
      <c r="F619" s="15" t="s">
        <v>453</v>
      </c>
    </row>
    <row r="620" spans="1:6" x14ac:dyDescent="0.25">
      <c r="A620" t="s">
        <v>102</v>
      </c>
      <c r="B620" s="13">
        <f>B584/$G$245</f>
        <v>0.11632075471698111</v>
      </c>
      <c r="C620" s="13">
        <f t="shared" ref="C620:F620" si="45">C584/$G$245</f>
        <v>2.3584905660377358E-3</v>
      </c>
      <c r="D620" s="13">
        <f t="shared" si="45"/>
        <v>1.9811320754716984E-2</v>
      </c>
      <c r="E620" s="13">
        <f t="shared" si="45"/>
        <v>0</v>
      </c>
      <c r="F620" s="13">
        <f t="shared" si="45"/>
        <v>3.113207547169811E-3</v>
      </c>
    </row>
    <row r="621" spans="1:6" x14ac:dyDescent="0.25">
      <c r="A621" t="s">
        <v>352</v>
      </c>
      <c r="B621" s="13">
        <f t="shared" ref="B621:F621" si="46">B585/$G$245</f>
        <v>0.44009433962264149</v>
      </c>
      <c r="C621" s="13">
        <f t="shared" si="46"/>
        <v>6.2924528301886787E-2</v>
      </c>
      <c r="D621" s="13">
        <f t="shared" si="46"/>
        <v>7.518867924528301E-2</v>
      </c>
      <c r="E621" s="13">
        <f t="shared" si="46"/>
        <v>0</v>
      </c>
      <c r="F621" s="13">
        <f t="shared" si="46"/>
        <v>1.1886792452830188E-2</v>
      </c>
    </row>
    <row r="622" spans="1:6" x14ac:dyDescent="0.25">
      <c r="A622" t="s">
        <v>95</v>
      </c>
      <c r="B622" s="13">
        <f t="shared" ref="B622:F622" si="47">B586/$G$245</f>
        <v>0.13122641509433963</v>
      </c>
      <c r="C622" s="13">
        <f t="shared" si="47"/>
        <v>1.0943396226415094E-2</v>
      </c>
      <c r="D622" s="13">
        <f t="shared" si="47"/>
        <v>2.2452830188679246E-2</v>
      </c>
      <c r="E622" s="13">
        <f t="shared" si="47"/>
        <v>0</v>
      </c>
      <c r="F622" s="13">
        <f t="shared" si="47"/>
        <v>3.5849056603773585E-3</v>
      </c>
    </row>
    <row r="623" spans="1:6" x14ac:dyDescent="0.25">
      <c r="A623" s="24" t="s">
        <v>101</v>
      </c>
      <c r="B623" s="13">
        <f t="shared" ref="B623:F623" si="48">B587/$G$245</f>
        <v>0</v>
      </c>
      <c r="C623" s="13">
        <f t="shared" si="48"/>
        <v>1.0943396226415094E-2</v>
      </c>
      <c r="D623" s="13">
        <f t="shared" si="48"/>
        <v>0</v>
      </c>
      <c r="E623" s="13">
        <f t="shared" si="48"/>
        <v>0</v>
      </c>
      <c r="F623" s="13">
        <f t="shared" si="48"/>
        <v>0</v>
      </c>
    </row>
    <row r="624" spans="1:6" x14ac:dyDescent="0.25">
      <c r="A624" s="15" t="s">
        <v>105</v>
      </c>
      <c r="B624" s="16">
        <f t="shared" ref="B624:F624" si="49">B588/$G$245</f>
        <v>5.2830188679245278E-2</v>
      </c>
      <c r="C624" s="16">
        <f t="shared" si="49"/>
        <v>1.7735849056603775E-2</v>
      </c>
      <c r="D624" s="16">
        <f t="shared" si="49"/>
        <v>2.7547169811320753E-2</v>
      </c>
      <c r="E624" s="16">
        <f t="shared" si="49"/>
        <v>6.7924528301886791E-3</v>
      </c>
      <c r="F624" s="16">
        <f t="shared" si="49"/>
        <v>5.4905660377358494E-2</v>
      </c>
    </row>
    <row r="625" spans="1:14" x14ac:dyDescent="0.25">
      <c r="A625" s="15" t="s">
        <v>107</v>
      </c>
      <c r="B625" s="16">
        <f t="shared" ref="B625:F625" si="50">B589/$G$245</f>
        <v>0</v>
      </c>
      <c r="C625" s="16">
        <f t="shared" si="50"/>
        <v>7.5471698113207543E-4</v>
      </c>
      <c r="D625" s="16">
        <f t="shared" si="50"/>
        <v>0</v>
      </c>
      <c r="E625" s="16">
        <f t="shared" si="50"/>
        <v>0</v>
      </c>
      <c r="F625" s="16">
        <f t="shared" si="50"/>
        <v>0</v>
      </c>
    </row>
    <row r="626" spans="1:14" x14ac:dyDescent="0.25">
      <c r="A626" t="s">
        <v>113</v>
      </c>
      <c r="B626" s="13">
        <f t="shared" ref="B626:F626" si="51">B590/$G$245</f>
        <v>0</v>
      </c>
      <c r="C626" s="13">
        <f t="shared" si="51"/>
        <v>7.5471698113207543E-4</v>
      </c>
      <c r="D626" s="13">
        <f t="shared" si="51"/>
        <v>0</v>
      </c>
      <c r="E626" s="13">
        <f t="shared" si="51"/>
        <v>0</v>
      </c>
      <c r="F626" s="13">
        <f t="shared" si="51"/>
        <v>0</v>
      </c>
    </row>
    <row r="627" spans="1:14" x14ac:dyDescent="0.25">
      <c r="A627" t="s">
        <v>350</v>
      </c>
      <c r="B627" s="13">
        <f t="shared" ref="B627:F627" si="52">B591/$G$245</f>
        <v>0.56669811320754715</v>
      </c>
      <c r="C627" s="13">
        <f t="shared" si="52"/>
        <v>1.179245283018868E-2</v>
      </c>
      <c r="D627" s="13">
        <f t="shared" si="52"/>
        <v>9.6792452830188683E-2</v>
      </c>
      <c r="E627" s="13">
        <f t="shared" si="52"/>
        <v>0</v>
      </c>
      <c r="F627" s="13">
        <f t="shared" si="52"/>
        <v>1.5377358490566036E-2</v>
      </c>
    </row>
    <row r="628" spans="1:14" x14ac:dyDescent="0.25">
      <c r="A628" t="s">
        <v>353</v>
      </c>
      <c r="B628" s="13">
        <f t="shared" ref="B628:F628" si="53">B592/$G$245</f>
        <v>0.670566037735849</v>
      </c>
      <c r="C628" s="13">
        <f t="shared" si="53"/>
        <v>1.3962264150943395E-2</v>
      </c>
      <c r="D628" s="13">
        <f t="shared" si="53"/>
        <v>1.8207547169811319E-2</v>
      </c>
      <c r="E628" s="13">
        <f t="shared" si="53"/>
        <v>0</v>
      </c>
      <c r="F628" s="13">
        <f t="shared" si="53"/>
        <v>1.8207547169811319E-2</v>
      </c>
    </row>
    <row r="629" spans="1:14" x14ac:dyDescent="0.25">
      <c r="A629" t="s">
        <v>456</v>
      </c>
      <c r="B629" s="13">
        <f t="shared" ref="B629:F629" si="54">B593/$G$245</f>
        <v>0.36584905660377359</v>
      </c>
      <c r="C629" s="13">
        <f t="shared" si="54"/>
        <v>7.6415094339622649E-3</v>
      </c>
      <c r="D629" s="13">
        <f t="shared" si="54"/>
        <v>6.254716981132076E-2</v>
      </c>
      <c r="E629" s="13">
        <f t="shared" si="54"/>
        <v>0</v>
      </c>
      <c r="F629" s="13">
        <f t="shared" si="54"/>
        <v>9.9056603773584918E-3</v>
      </c>
    </row>
    <row r="630" spans="1:14" x14ac:dyDescent="0.25">
      <c r="A630" s="24" t="s">
        <v>96</v>
      </c>
      <c r="B630" s="53">
        <f t="shared" ref="B630:F630" si="55">B594/$G$245</f>
        <v>5.2830188679245287E-3</v>
      </c>
      <c r="C630" s="53">
        <f t="shared" si="55"/>
        <v>4.056603773584906E-3</v>
      </c>
      <c r="D630" s="53">
        <f t="shared" si="55"/>
        <v>4.1509433962264152E-3</v>
      </c>
      <c r="E630" s="53">
        <f t="shared" si="55"/>
        <v>9.4339622641509435E-4</v>
      </c>
      <c r="F630" s="53">
        <f t="shared" si="55"/>
        <v>8.1132075471698119E-3</v>
      </c>
    </row>
    <row r="631" spans="1:14" x14ac:dyDescent="0.25">
      <c r="A631" s="24" t="s">
        <v>454</v>
      </c>
      <c r="B631" s="53">
        <f t="shared" ref="B631:F631" si="56">B595/$G$245</f>
        <v>1.6981132075471698E-3</v>
      </c>
      <c r="C631" s="53">
        <f t="shared" si="56"/>
        <v>5.6603773584905663E-4</v>
      </c>
      <c r="D631" s="53">
        <f t="shared" si="56"/>
        <v>7.5471698113207543E-4</v>
      </c>
      <c r="E631" s="53">
        <f t="shared" si="56"/>
        <v>1.8867924528301886E-4</v>
      </c>
      <c r="F631" s="53">
        <f t="shared" si="56"/>
        <v>1.6981132075471698E-3</v>
      </c>
    </row>
    <row r="632" spans="1:14" x14ac:dyDescent="0.25">
      <c r="A632" t="s">
        <v>457</v>
      </c>
      <c r="B632" s="13">
        <f t="shared" ref="B632:F632" si="57">B596/$G$245</f>
        <v>0.81075471698113211</v>
      </c>
      <c r="C632" s="13">
        <f t="shared" si="57"/>
        <v>1.6886792452830188E-2</v>
      </c>
      <c r="D632" s="13">
        <f t="shared" si="57"/>
        <v>0.13849056603773585</v>
      </c>
      <c r="E632" s="13">
        <f t="shared" si="57"/>
        <v>0</v>
      </c>
      <c r="F632" s="13">
        <f t="shared" si="57"/>
        <v>2.1981132075471699E-2</v>
      </c>
    </row>
    <row r="633" spans="1:14" x14ac:dyDescent="0.25">
      <c r="A633" t="s">
        <v>94</v>
      </c>
      <c r="B633" s="13">
        <f t="shared" ref="B633:F633" si="58">B597/$G$245</f>
        <v>0</v>
      </c>
      <c r="C633" s="13">
        <f t="shared" si="58"/>
        <v>7.2641509433962262E-3</v>
      </c>
      <c r="D633" s="13">
        <f t="shared" si="58"/>
        <v>0</v>
      </c>
      <c r="E633" s="13">
        <f t="shared" si="58"/>
        <v>0</v>
      </c>
      <c r="F633" s="13">
        <f t="shared" si="58"/>
        <v>0</v>
      </c>
    </row>
    <row r="636" spans="1:14" x14ac:dyDescent="0.25">
      <c r="A636" s="55" t="s">
        <v>462</v>
      </c>
      <c r="B636" s="55"/>
      <c r="C636" s="55"/>
      <c r="D636" s="55"/>
      <c r="E636" s="55"/>
      <c r="F636" s="55"/>
      <c r="G636" s="55"/>
      <c r="H636" s="55"/>
      <c r="I636" s="55"/>
      <c r="J636" s="55"/>
      <c r="K636" s="55"/>
      <c r="L636" s="55"/>
      <c r="M636" s="55"/>
      <c r="N636" s="55"/>
    </row>
    <row r="637" spans="1:14" x14ac:dyDescent="0.25">
      <c r="A637" s="56" t="s">
        <v>463</v>
      </c>
      <c r="B637" s="55"/>
      <c r="C637" s="55"/>
      <c r="D637" s="55"/>
      <c r="E637" s="55"/>
      <c r="F637" s="55"/>
      <c r="G637" s="55"/>
      <c r="H637" s="55"/>
      <c r="I637" s="55"/>
      <c r="J637" s="55"/>
      <c r="K637" s="55"/>
      <c r="L637" s="55"/>
      <c r="M637" s="55"/>
      <c r="N637" s="55"/>
    </row>
    <row r="638" spans="1:14" x14ac:dyDescent="0.25">
      <c r="A638" t="s">
        <v>461</v>
      </c>
    </row>
    <row r="641" spans="1:14" x14ac:dyDescent="0.25">
      <c r="A641" s="10" t="s">
        <v>477</v>
      </c>
      <c r="B641" s="10"/>
      <c r="C641" s="10"/>
      <c r="D641" s="10"/>
      <c r="E641" s="10"/>
      <c r="F641" s="10"/>
      <c r="G641" s="10"/>
      <c r="H641" s="10"/>
      <c r="I641" s="10"/>
      <c r="J641" s="10"/>
      <c r="K641" s="10"/>
      <c r="L641" s="10"/>
      <c r="M641" s="10"/>
      <c r="N641" s="10"/>
    </row>
    <row r="642" spans="1:14" x14ac:dyDescent="0.25">
      <c r="A642" s="52" t="s">
        <v>478</v>
      </c>
      <c r="B642" s="10"/>
      <c r="C642" s="10"/>
      <c r="D642" s="10"/>
      <c r="E642" s="10"/>
      <c r="F642" s="10"/>
      <c r="G642" s="10"/>
      <c r="H642" s="10"/>
      <c r="I642" s="10"/>
      <c r="J642" s="10"/>
      <c r="K642" s="10"/>
      <c r="L642" s="10"/>
      <c r="M642" s="10"/>
      <c r="N642" s="10"/>
    </row>
    <row r="643" spans="1:14" x14ac:dyDescent="0.25">
      <c r="A643" s="18" t="s">
        <v>479</v>
      </c>
    </row>
    <row r="644" spans="1:14" x14ac:dyDescent="0.25">
      <c r="A644" t="s">
        <v>516</v>
      </c>
    </row>
    <row r="646" spans="1:14" ht="15" customHeight="1" x14ac:dyDescent="0.25">
      <c r="A646" s="138" t="s">
        <v>508</v>
      </c>
      <c r="B646" s="138"/>
      <c r="C646" s="138"/>
      <c r="D646" s="60" t="s">
        <v>510</v>
      </c>
      <c r="E646" s="58"/>
      <c r="F646" s="58"/>
      <c r="G646" s="58"/>
      <c r="H646" s="58"/>
      <c r="I646" s="58"/>
      <c r="J646" s="58"/>
      <c r="K646" s="58"/>
    </row>
    <row r="647" spans="1:14" x14ac:dyDescent="0.25">
      <c r="A647" s="138"/>
      <c r="B647" s="138"/>
      <c r="C647" s="138"/>
      <c r="D647" s="58" t="s">
        <v>480</v>
      </c>
      <c r="E647" s="60" t="s">
        <v>509</v>
      </c>
      <c r="F647" s="58"/>
      <c r="G647" s="58"/>
      <c r="H647" s="58"/>
      <c r="I647" s="58"/>
      <c r="J647" s="58"/>
      <c r="K647" s="58"/>
    </row>
    <row r="648" spans="1:14" x14ac:dyDescent="0.25">
      <c r="A648" s="138"/>
      <c r="B648" s="138"/>
      <c r="C648" s="138"/>
      <c r="D648" s="58" t="s">
        <v>91</v>
      </c>
      <c r="E648" s="58" t="s">
        <v>92</v>
      </c>
      <c r="F648" s="58" t="s">
        <v>106</v>
      </c>
      <c r="G648" s="58" t="s">
        <v>111</v>
      </c>
      <c r="H648" s="58" t="s">
        <v>96</v>
      </c>
      <c r="I648" s="58" t="s">
        <v>101</v>
      </c>
      <c r="J648" s="58" t="s">
        <v>105</v>
      </c>
      <c r="K648" s="58" t="s">
        <v>95</v>
      </c>
    </row>
    <row r="649" spans="1:14" ht="15" customHeight="1" x14ac:dyDescent="0.25">
      <c r="A649" s="137" t="s">
        <v>512</v>
      </c>
      <c r="B649" s="137" t="s">
        <v>511</v>
      </c>
      <c r="C649" s="58" t="s">
        <v>481</v>
      </c>
      <c r="D649" s="58" t="s">
        <v>482</v>
      </c>
      <c r="E649" s="58" t="s">
        <v>482</v>
      </c>
      <c r="F649" s="58" t="s">
        <v>482</v>
      </c>
      <c r="G649" s="58" t="s">
        <v>482</v>
      </c>
      <c r="H649" s="58">
        <v>2E-3</v>
      </c>
      <c r="I649" s="58">
        <v>0.2</v>
      </c>
      <c r="J649" s="58">
        <v>0.01</v>
      </c>
      <c r="K649" s="58">
        <v>0.06</v>
      </c>
    </row>
    <row r="650" spans="1:14" x14ac:dyDescent="0.25">
      <c r="A650" s="137"/>
      <c r="B650" s="137"/>
      <c r="C650" s="58" t="s">
        <v>483</v>
      </c>
      <c r="D650" s="58" t="s">
        <v>482</v>
      </c>
      <c r="E650" s="58" t="s">
        <v>482</v>
      </c>
      <c r="F650" s="58" t="s">
        <v>482</v>
      </c>
      <c r="G650" s="58" t="s">
        <v>482</v>
      </c>
      <c r="H650" s="58">
        <v>1E-3</v>
      </c>
      <c r="I650" s="58">
        <v>0.05</v>
      </c>
      <c r="J650" s="58">
        <v>3.0000000000000001E-3</v>
      </c>
      <c r="K650" s="58">
        <v>0.02</v>
      </c>
    </row>
    <row r="651" spans="1:14" x14ac:dyDescent="0.25">
      <c r="A651" s="137"/>
      <c r="B651" s="137"/>
      <c r="C651" s="58" t="s">
        <v>484</v>
      </c>
      <c r="D651" s="58" t="s">
        <v>482</v>
      </c>
      <c r="E651" s="58" t="s">
        <v>482</v>
      </c>
      <c r="F651" s="58" t="s">
        <v>482</v>
      </c>
      <c r="G651" s="58" t="s">
        <v>482</v>
      </c>
      <c r="H651" s="58">
        <v>1E-3</v>
      </c>
      <c r="I651" s="58">
        <v>0.04</v>
      </c>
      <c r="J651" s="58">
        <v>3.0000000000000001E-3</v>
      </c>
      <c r="K651" s="58">
        <v>0.02</v>
      </c>
    </row>
    <row r="652" spans="1:14" x14ac:dyDescent="0.25">
      <c r="A652" s="137"/>
      <c r="B652" s="137"/>
      <c r="C652" s="58" t="s">
        <v>485</v>
      </c>
      <c r="D652" s="58" t="s">
        <v>482</v>
      </c>
      <c r="E652" s="58" t="s">
        <v>482</v>
      </c>
      <c r="F652" s="58" t="s">
        <v>482</v>
      </c>
      <c r="G652" s="58" t="s">
        <v>482</v>
      </c>
      <c r="H652" s="58">
        <v>1E-3</v>
      </c>
      <c r="I652" s="58">
        <v>0.1</v>
      </c>
      <c r="J652" s="58">
        <v>5.0000000000000001E-3</v>
      </c>
      <c r="K652" s="58">
        <v>0.03</v>
      </c>
    </row>
    <row r="653" spans="1:14" x14ac:dyDescent="0.25">
      <c r="A653" s="137"/>
      <c r="B653" s="137"/>
      <c r="C653" s="58" t="s">
        <v>139</v>
      </c>
      <c r="D653" s="58" t="s">
        <v>482</v>
      </c>
      <c r="E653" s="58" t="s">
        <v>482</v>
      </c>
      <c r="F653" s="58" t="s">
        <v>482</v>
      </c>
      <c r="G653" s="58" t="s">
        <v>482</v>
      </c>
      <c r="H653" s="58">
        <v>1E-3</v>
      </c>
      <c r="I653" s="58">
        <v>0.1</v>
      </c>
      <c r="J653" s="58">
        <v>0.01</v>
      </c>
      <c r="K653" s="58">
        <v>0.04</v>
      </c>
    </row>
    <row r="654" spans="1:14" ht="30" x14ac:dyDescent="0.25">
      <c r="A654" s="137"/>
      <c r="B654" s="137"/>
      <c r="C654" s="58" t="s">
        <v>486</v>
      </c>
      <c r="D654" s="58" t="s">
        <v>482</v>
      </c>
      <c r="E654" s="58" t="s">
        <v>482</v>
      </c>
      <c r="F654" s="58" t="s">
        <v>482</v>
      </c>
      <c r="G654" s="58" t="s">
        <v>482</v>
      </c>
      <c r="H654" s="58">
        <v>0.1</v>
      </c>
      <c r="I654" s="58" t="s">
        <v>482</v>
      </c>
      <c r="J654" s="58">
        <v>0.4</v>
      </c>
      <c r="K654" s="58">
        <v>0.5</v>
      </c>
    </row>
    <row r="655" spans="1:14" x14ac:dyDescent="0.25">
      <c r="A655" s="137"/>
      <c r="B655" s="137"/>
      <c r="C655" s="58" t="s">
        <v>487</v>
      </c>
      <c r="D655" s="58" t="s">
        <v>482</v>
      </c>
      <c r="E655" s="58" t="s">
        <v>482</v>
      </c>
      <c r="F655" s="58" t="s">
        <v>482</v>
      </c>
      <c r="G655" s="58" t="s">
        <v>482</v>
      </c>
      <c r="H655" s="58">
        <v>4.0000000000000002E-4</v>
      </c>
      <c r="I655" s="58">
        <v>0.03</v>
      </c>
      <c r="J655" s="58">
        <v>2E-3</v>
      </c>
      <c r="K655" s="58">
        <v>0.01</v>
      </c>
    </row>
    <row r="656" spans="1:14" ht="30" x14ac:dyDescent="0.25">
      <c r="A656" s="137"/>
      <c r="B656" s="137"/>
      <c r="C656" s="58" t="s">
        <v>488</v>
      </c>
      <c r="D656" s="58" t="s">
        <v>482</v>
      </c>
      <c r="E656" s="58" t="s">
        <v>482</v>
      </c>
      <c r="F656" s="58" t="s">
        <v>482</v>
      </c>
      <c r="G656" s="58" t="s">
        <v>482</v>
      </c>
      <c r="H656" s="58">
        <v>1E-4</v>
      </c>
      <c r="I656" s="58">
        <v>4.0000000000000001E-3</v>
      </c>
      <c r="J656" s="58">
        <v>2.9999999999999997E-4</v>
      </c>
      <c r="K656" s="58">
        <v>1E-3</v>
      </c>
    </row>
    <row r="657" spans="1:11" x14ac:dyDescent="0.25">
      <c r="A657" s="137"/>
      <c r="B657" s="137"/>
      <c r="C657" s="58" t="s">
        <v>136</v>
      </c>
      <c r="D657" s="58" t="s">
        <v>482</v>
      </c>
      <c r="E657" s="58" t="s">
        <v>482</v>
      </c>
      <c r="F657" s="58" t="s">
        <v>482</v>
      </c>
      <c r="G657" s="58" t="s">
        <v>482</v>
      </c>
      <c r="H657" s="58">
        <v>2E-3</v>
      </c>
      <c r="I657" s="58">
        <v>0.2</v>
      </c>
      <c r="J657" s="58">
        <v>0.01</v>
      </c>
      <c r="K657" s="58">
        <v>0.1</v>
      </c>
    </row>
    <row r="658" spans="1:11" x14ac:dyDescent="0.25">
      <c r="A658" s="137"/>
      <c r="B658" s="137"/>
      <c r="C658" s="58" t="s">
        <v>137</v>
      </c>
      <c r="D658" s="58" t="s">
        <v>482</v>
      </c>
      <c r="E658" s="58" t="s">
        <v>482</v>
      </c>
      <c r="F658" s="58" t="s">
        <v>482</v>
      </c>
      <c r="G658" s="58" t="s">
        <v>482</v>
      </c>
      <c r="H658" s="58">
        <v>1E-3</v>
      </c>
      <c r="I658" s="58">
        <v>0.1</v>
      </c>
      <c r="J658" s="58">
        <v>0.01</v>
      </c>
      <c r="K658" s="58">
        <v>0.04</v>
      </c>
    </row>
    <row r="659" spans="1:11" ht="30" x14ac:dyDescent="0.25">
      <c r="A659" s="137"/>
      <c r="B659" s="137"/>
      <c r="C659" s="58" t="s">
        <v>489</v>
      </c>
      <c r="D659" s="58" t="s">
        <v>482</v>
      </c>
      <c r="E659" s="58" t="s">
        <v>482</v>
      </c>
      <c r="F659" s="58" t="s">
        <v>482</v>
      </c>
      <c r="G659" s="58" t="s">
        <v>482</v>
      </c>
      <c r="H659" s="58">
        <v>0.6</v>
      </c>
      <c r="I659" s="58" t="s">
        <v>482</v>
      </c>
      <c r="J659" s="58">
        <v>0.3</v>
      </c>
      <c r="K659" s="58">
        <v>0.2</v>
      </c>
    </row>
    <row r="660" spans="1:11" x14ac:dyDescent="0.25">
      <c r="A660" s="137"/>
      <c r="B660" s="137"/>
      <c r="C660" s="58" t="s">
        <v>490</v>
      </c>
      <c r="D660" s="58" t="s">
        <v>482</v>
      </c>
      <c r="E660" s="58" t="s">
        <v>482</v>
      </c>
      <c r="F660" s="58" t="s">
        <v>482</v>
      </c>
      <c r="G660" s="58" t="s">
        <v>482</v>
      </c>
      <c r="H660" s="58">
        <v>0.2</v>
      </c>
      <c r="I660" s="58" t="s">
        <v>482</v>
      </c>
      <c r="J660" s="58">
        <v>0.1</v>
      </c>
      <c r="K660" s="58">
        <v>0.05</v>
      </c>
    </row>
    <row r="661" spans="1:11" x14ac:dyDescent="0.25">
      <c r="A661" s="137"/>
      <c r="B661" s="59"/>
      <c r="C661" s="58" t="s">
        <v>491</v>
      </c>
      <c r="D661" s="58" t="s">
        <v>482</v>
      </c>
      <c r="E661" s="58" t="s">
        <v>482</v>
      </c>
      <c r="F661" s="58" t="s">
        <v>482</v>
      </c>
      <c r="G661" s="58" t="s">
        <v>482</v>
      </c>
      <c r="H661" s="58">
        <v>5.0000000000000001E-4</v>
      </c>
      <c r="I661" s="58">
        <v>0.3</v>
      </c>
      <c r="J661" s="58">
        <v>0.2</v>
      </c>
      <c r="K661" s="58" t="s">
        <v>482</v>
      </c>
    </row>
    <row r="662" spans="1:11" x14ac:dyDescent="0.25">
      <c r="A662" s="139" t="s">
        <v>513</v>
      </c>
      <c r="B662" s="139" t="s">
        <v>514</v>
      </c>
      <c r="C662" s="58" t="s">
        <v>132</v>
      </c>
      <c r="D662" s="58">
        <v>0.03</v>
      </c>
      <c r="E662" s="58">
        <v>0.03</v>
      </c>
      <c r="F662" s="58">
        <v>0.03</v>
      </c>
      <c r="G662" s="58">
        <v>0.03</v>
      </c>
      <c r="H662" s="58">
        <v>2.0000000000000002E-5</v>
      </c>
      <c r="I662" s="58">
        <v>4.0000000000000003E-5</v>
      </c>
      <c r="J662" s="58">
        <v>5.0000000000000002E-5</v>
      </c>
      <c r="K662" s="58">
        <v>2.0000000000000001E-4</v>
      </c>
    </row>
    <row r="663" spans="1:11" ht="30" x14ac:dyDescent="0.25">
      <c r="A663" s="140"/>
      <c r="B663" s="140"/>
      <c r="C663" s="58" t="s">
        <v>492</v>
      </c>
      <c r="D663" s="58">
        <v>0.1</v>
      </c>
      <c r="E663" s="58">
        <v>0.1</v>
      </c>
      <c r="F663" s="58">
        <v>0.1</v>
      </c>
      <c r="G663" s="58">
        <v>0.1</v>
      </c>
      <c r="H663" s="58">
        <v>4.0000000000000002E-4</v>
      </c>
      <c r="I663" s="58">
        <v>1E-4</v>
      </c>
      <c r="J663" s="58">
        <v>0.01</v>
      </c>
      <c r="K663" s="58">
        <v>0</v>
      </c>
    </row>
    <row r="664" spans="1:11" ht="30" x14ac:dyDescent="0.25">
      <c r="A664" s="140"/>
      <c r="B664" s="140"/>
      <c r="C664" s="58" t="s">
        <v>493</v>
      </c>
      <c r="D664" s="58">
        <v>0.2</v>
      </c>
      <c r="E664" s="58">
        <v>0.2</v>
      </c>
      <c r="F664" s="58">
        <v>0.2</v>
      </c>
      <c r="G664" s="58">
        <v>0.2</v>
      </c>
      <c r="H664" s="58">
        <v>1E-4</v>
      </c>
      <c r="I664" s="58">
        <v>3.0000000000000001E-3</v>
      </c>
      <c r="J664" s="58">
        <v>3.0000000000000001E-3</v>
      </c>
      <c r="K664" s="58">
        <v>1E-3</v>
      </c>
    </row>
    <row r="665" spans="1:11" ht="30" x14ac:dyDescent="0.25">
      <c r="A665" s="140"/>
      <c r="B665" s="140"/>
      <c r="C665" s="58" t="s">
        <v>494</v>
      </c>
      <c r="D665" s="58">
        <v>0.1</v>
      </c>
      <c r="E665" s="58">
        <v>0.1</v>
      </c>
      <c r="F665" s="58">
        <v>0.1</v>
      </c>
      <c r="G665" s="58">
        <v>0.1</v>
      </c>
      <c r="H665" s="58">
        <v>4.0000000000000002E-4</v>
      </c>
      <c r="I665" s="58">
        <v>1E-4</v>
      </c>
      <c r="J665" s="58">
        <v>0.01</v>
      </c>
      <c r="K665" s="58">
        <v>1E-3</v>
      </c>
    </row>
    <row r="666" spans="1:11" ht="30" x14ac:dyDescent="0.25">
      <c r="A666" s="140"/>
      <c r="B666" s="140"/>
      <c r="C666" s="58" t="s">
        <v>495</v>
      </c>
      <c r="D666" s="58">
        <v>0.02</v>
      </c>
      <c r="E666" s="58">
        <v>0.02</v>
      </c>
      <c r="F666" s="58">
        <v>0.02</v>
      </c>
      <c r="G666" s="58">
        <v>0.02</v>
      </c>
      <c r="H666" s="58">
        <v>3.0000000000000001E-6</v>
      </c>
      <c r="I666" s="58">
        <v>2.0000000000000002E-5</v>
      </c>
      <c r="J666" s="58">
        <v>2.0000000000000002E-5</v>
      </c>
      <c r="K666" s="58">
        <v>1E-4</v>
      </c>
    </row>
    <row r="667" spans="1:11" x14ac:dyDescent="0.25">
      <c r="A667" s="140"/>
      <c r="B667" s="140"/>
      <c r="C667" s="58" t="s">
        <v>496</v>
      </c>
      <c r="D667" s="58">
        <v>0.02</v>
      </c>
      <c r="E667" s="58">
        <v>0.02</v>
      </c>
      <c r="F667" s="58">
        <v>0.02</v>
      </c>
      <c r="G667" s="58">
        <v>0.02</v>
      </c>
      <c r="H667" s="58">
        <v>1E-4</v>
      </c>
      <c r="I667" s="58">
        <v>2.0000000000000002E-5</v>
      </c>
      <c r="J667" s="58">
        <v>1E-3</v>
      </c>
      <c r="K667" s="58">
        <v>1E-4</v>
      </c>
    </row>
    <row r="668" spans="1:11" x14ac:dyDescent="0.25">
      <c r="A668" s="140"/>
      <c r="B668" s="140"/>
      <c r="C668" s="58" t="s">
        <v>497</v>
      </c>
      <c r="D668" s="58">
        <v>4.0000000000000002E-4</v>
      </c>
      <c r="E668" s="58">
        <v>4.0000000000000002E-4</v>
      </c>
      <c r="F668" s="58">
        <v>4.0000000000000002E-4</v>
      </c>
      <c r="G668" s="58">
        <v>4.0000000000000002E-4</v>
      </c>
      <c r="H668" s="58">
        <v>5.0000000000000001E-9</v>
      </c>
      <c r="I668" s="58">
        <v>2E-8</v>
      </c>
      <c r="J668" s="58">
        <v>2E-8</v>
      </c>
      <c r="K668" s="58">
        <v>1.9999999999999999E-6</v>
      </c>
    </row>
    <row r="669" spans="1:11" ht="30" x14ac:dyDescent="0.25">
      <c r="A669" s="140"/>
      <c r="B669" s="140"/>
      <c r="C669" s="58" t="s">
        <v>498</v>
      </c>
      <c r="D669" s="58">
        <v>2.0000000000000001E-4</v>
      </c>
      <c r="E669" s="58">
        <v>2.0000000000000001E-4</v>
      </c>
      <c r="F669" s="58">
        <v>2.0000000000000001E-4</v>
      </c>
      <c r="G669" s="58">
        <v>2.0000000000000001E-4</v>
      </c>
      <c r="H669" s="58">
        <v>9.9999999999999995E-7</v>
      </c>
      <c r="I669" s="58">
        <v>1.9999999999999999E-7</v>
      </c>
      <c r="J669" s="58">
        <v>1.0000000000000001E-5</v>
      </c>
      <c r="K669" s="58">
        <v>0</v>
      </c>
    </row>
    <row r="670" spans="1:11" ht="30" x14ac:dyDescent="0.25">
      <c r="A670" s="140"/>
      <c r="B670" s="140"/>
      <c r="C670" s="58" t="s">
        <v>499</v>
      </c>
      <c r="D670" s="58">
        <v>0.1</v>
      </c>
      <c r="E670" s="58">
        <v>0.1</v>
      </c>
      <c r="F670" s="58">
        <v>0.1</v>
      </c>
      <c r="G670" s="58">
        <v>0.1</v>
      </c>
      <c r="H670" s="58"/>
      <c r="I670" s="58">
        <v>2.0000000000000002E-5</v>
      </c>
      <c r="J670" s="58">
        <v>2.0000000000000002E-5</v>
      </c>
      <c r="K670" s="58">
        <v>1E-3</v>
      </c>
    </row>
    <row r="671" spans="1:11" ht="30" x14ac:dyDescent="0.25">
      <c r="A671" s="140"/>
      <c r="B671" s="140"/>
      <c r="C671" s="58" t="s">
        <v>500</v>
      </c>
      <c r="D671" s="58">
        <v>0.02</v>
      </c>
      <c r="E671" s="58">
        <v>0.02</v>
      </c>
      <c r="F671" s="58">
        <v>0.02</v>
      </c>
      <c r="G671" s="58">
        <v>0.02</v>
      </c>
      <c r="H671" s="58">
        <v>1E-4</v>
      </c>
      <c r="I671" s="58">
        <v>2.0000000000000002E-5</v>
      </c>
      <c r="J671" s="58">
        <v>1E-3</v>
      </c>
      <c r="K671" s="58">
        <v>1E-4</v>
      </c>
    </row>
    <row r="672" spans="1:11" x14ac:dyDescent="0.25">
      <c r="A672" s="140"/>
      <c r="B672" s="140"/>
      <c r="C672" s="58" t="s">
        <v>501</v>
      </c>
      <c r="D672" s="58">
        <v>0.01</v>
      </c>
      <c r="E672" s="58">
        <v>0.01</v>
      </c>
      <c r="F672" s="58">
        <v>0.01</v>
      </c>
      <c r="G672" s="58">
        <v>0.01</v>
      </c>
      <c r="H672" s="58">
        <v>0</v>
      </c>
      <c r="I672" s="58">
        <v>1.0000000000000001E-5</v>
      </c>
      <c r="J672" s="58">
        <v>1E-3</v>
      </c>
      <c r="K672" s="58">
        <v>0</v>
      </c>
    </row>
    <row r="673" spans="1:11" ht="30" x14ac:dyDescent="0.25">
      <c r="A673" s="140"/>
      <c r="B673" s="140"/>
      <c r="C673" s="58" t="s">
        <v>502</v>
      </c>
      <c r="D673" s="58">
        <v>0.02</v>
      </c>
      <c r="E673" s="58">
        <v>0.02</v>
      </c>
      <c r="F673" s="58">
        <v>0.02</v>
      </c>
      <c r="G673" s="58">
        <v>0.02</v>
      </c>
      <c r="H673" s="58">
        <v>1E-4</v>
      </c>
      <c r="I673" s="58">
        <v>2.0000000000000002E-5</v>
      </c>
      <c r="J673" s="58">
        <v>1E-3</v>
      </c>
      <c r="K673" s="58">
        <v>1E-4</v>
      </c>
    </row>
    <row r="674" spans="1:11" x14ac:dyDescent="0.25">
      <c r="A674" s="140"/>
      <c r="B674" s="140"/>
      <c r="C674" s="58" t="s">
        <v>503</v>
      </c>
      <c r="D674" s="58">
        <v>0.1</v>
      </c>
      <c r="E674" s="58">
        <v>0.1</v>
      </c>
      <c r="F674" s="58">
        <v>0.1</v>
      </c>
      <c r="G674" s="58">
        <v>0.1</v>
      </c>
      <c r="H674" s="58">
        <v>1.5E-3</v>
      </c>
      <c r="I674" s="58">
        <v>1.0000000000000001E-5</v>
      </c>
      <c r="J674" s="58">
        <v>1.0000000000000001E-5</v>
      </c>
      <c r="K674" s="58">
        <v>1E-3</v>
      </c>
    </row>
    <row r="675" spans="1:11" ht="30" x14ac:dyDescent="0.25">
      <c r="A675" s="140"/>
      <c r="B675" s="140"/>
      <c r="C675" s="58" t="s">
        <v>504</v>
      </c>
      <c r="D675" s="58">
        <v>0.02</v>
      </c>
      <c r="E675" s="58">
        <v>0.02</v>
      </c>
      <c r="F675" s="58">
        <v>0.02</v>
      </c>
      <c r="G675" s="58">
        <v>0.02</v>
      </c>
      <c r="H675" s="58">
        <v>1E-4</v>
      </c>
      <c r="I675" s="58">
        <v>2.0000000000000002E-5</v>
      </c>
      <c r="J675" s="58">
        <v>1E-3</v>
      </c>
      <c r="K675" s="58">
        <v>1E-4</v>
      </c>
    </row>
    <row r="676" spans="1:11" x14ac:dyDescent="0.25">
      <c r="A676" s="140"/>
      <c r="B676" s="140"/>
      <c r="C676" s="58" t="s">
        <v>505</v>
      </c>
      <c r="D676" s="58">
        <v>0.1</v>
      </c>
      <c r="E676" s="58">
        <v>0.1</v>
      </c>
      <c r="F676" s="58">
        <v>0.1</v>
      </c>
      <c r="G676" s="58">
        <v>0.1</v>
      </c>
      <c r="H676" s="58">
        <v>2.9999999999999997E-4</v>
      </c>
      <c r="I676" s="58">
        <v>1E-4</v>
      </c>
      <c r="J676" s="58">
        <v>5.0000000000000001E-3</v>
      </c>
      <c r="K676" s="58">
        <v>0</v>
      </c>
    </row>
    <row r="677" spans="1:11" x14ac:dyDescent="0.25">
      <c r="A677" s="141"/>
      <c r="B677" s="141"/>
      <c r="C677" s="58" t="s">
        <v>506</v>
      </c>
      <c r="D677" s="58">
        <v>0.2</v>
      </c>
      <c r="E677" s="58">
        <v>0.2</v>
      </c>
      <c r="F677" s="58">
        <v>0.2</v>
      </c>
      <c r="G677" s="58">
        <v>0.2</v>
      </c>
      <c r="H677" s="58">
        <v>8.0000000000000004E-4</v>
      </c>
      <c r="I677" s="58">
        <v>2.0000000000000001E-4</v>
      </c>
      <c r="J677" s="58">
        <v>0.01</v>
      </c>
      <c r="K677" s="58">
        <v>1E-3</v>
      </c>
    </row>
    <row r="678" spans="1:11" ht="30" x14ac:dyDescent="0.25">
      <c r="A678" s="58"/>
      <c r="B678" s="58"/>
      <c r="C678" s="62" t="s">
        <v>507</v>
      </c>
      <c r="D678" s="61">
        <v>1</v>
      </c>
      <c r="E678" s="61">
        <v>0.3</v>
      </c>
      <c r="F678" s="61">
        <v>0.06</v>
      </c>
      <c r="G678" s="61">
        <v>1E-3</v>
      </c>
      <c r="H678" s="61">
        <v>5</v>
      </c>
      <c r="I678" s="61">
        <v>40</v>
      </c>
      <c r="J678" s="61">
        <v>40</v>
      </c>
      <c r="K678" s="61">
        <v>50</v>
      </c>
    </row>
    <row r="681" spans="1:11" x14ac:dyDescent="0.25">
      <c r="A681" s="26" t="s">
        <v>394</v>
      </c>
    </row>
    <row r="682" spans="1:11" x14ac:dyDescent="0.25">
      <c r="A682" s="15"/>
      <c r="B682" s="15" t="s">
        <v>450</v>
      </c>
      <c r="C682" s="15" t="s">
        <v>515</v>
      </c>
    </row>
    <row r="683" spans="1:11" x14ac:dyDescent="0.25">
      <c r="A683" s="61" t="s">
        <v>96</v>
      </c>
      <c r="B683" s="16">
        <f>(H678/1000)*H659/G245</f>
        <v>5.660377358490566E-5</v>
      </c>
      <c r="C683" s="16">
        <f>(H678/1000)*H660/G245</f>
        <v>1.8867924528301888E-5</v>
      </c>
    </row>
    <row r="684" spans="1:11" x14ac:dyDescent="0.25">
      <c r="A684" s="61" t="s">
        <v>105</v>
      </c>
      <c r="B684" s="16">
        <f>(J678/1000)*J659/G245</f>
        <v>2.2641509433962264E-4</v>
      </c>
      <c r="C684" s="16">
        <f>(J678/1000)*J660/G245</f>
        <v>7.5471698113207552E-5</v>
      </c>
    </row>
    <row r="685" spans="1:11" x14ac:dyDescent="0.25">
      <c r="A685" s="61" t="s">
        <v>95</v>
      </c>
      <c r="B685" s="16">
        <f>(K678/1000)*K659/G245</f>
        <v>1.8867924528301891E-4</v>
      </c>
      <c r="C685" s="16">
        <f>(K678/1000)*K660/G245</f>
        <v>4.7169811320754728E-5</v>
      </c>
    </row>
    <row r="686" spans="1:11" x14ac:dyDescent="0.25">
      <c r="B686" s="16"/>
      <c r="C686" s="16"/>
    </row>
    <row r="689" spans="1:14" x14ac:dyDescent="0.25">
      <c r="A689" s="6" t="s">
        <v>733</v>
      </c>
      <c r="B689" s="6"/>
      <c r="C689" s="6"/>
      <c r="D689" s="6"/>
      <c r="E689" s="6"/>
      <c r="F689" s="6"/>
      <c r="G689" s="6"/>
      <c r="H689" s="6"/>
      <c r="I689" s="6"/>
      <c r="J689" s="6"/>
      <c r="K689" s="6"/>
      <c r="L689" s="6"/>
      <c r="M689" s="6"/>
      <c r="N689" s="6"/>
    </row>
    <row r="690" spans="1:14" x14ac:dyDescent="0.25">
      <c r="A690" s="6" t="s">
        <v>734</v>
      </c>
      <c r="B690" s="6"/>
      <c r="C690" s="6"/>
      <c r="D690" s="6"/>
      <c r="E690" s="6"/>
      <c r="F690" s="6"/>
      <c r="G690" s="6"/>
      <c r="H690" s="6"/>
      <c r="I690" s="6"/>
      <c r="J690" s="6"/>
      <c r="K690" s="6"/>
      <c r="L690" s="6"/>
      <c r="M690" s="6"/>
      <c r="N690" s="6"/>
    </row>
    <row r="691" spans="1:14" x14ac:dyDescent="0.25">
      <c r="A691" t="s">
        <v>735</v>
      </c>
    </row>
    <row r="693" spans="1:14" x14ac:dyDescent="0.25">
      <c r="A693" t="s">
        <v>736</v>
      </c>
    </row>
    <row r="703" spans="1:14" x14ac:dyDescent="0.25">
      <c r="A703" s="6" t="s">
        <v>740</v>
      </c>
      <c r="B703" s="6"/>
      <c r="C703" s="6"/>
      <c r="D703" s="6"/>
      <c r="E703" s="6"/>
      <c r="F703" s="6"/>
      <c r="G703" s="6"/>
      <c r="H703" s="6"/>
      <c r="I703" s="6"/>
      <c r="J703" s="6"/>
      <c r="K703" s="6"/>
      <c r="L703" s="6"/>
      <c r="M703" s="6"/>
      <c r="N703" s="6"/>
    </row>
    <row r="704" spans="1:14" x14ac:dyDescent="0.25">
      <c r="A704" s="6" t="s">
        <v>739</v>
      </c>
      <c r="B704" s="6"/>
      <c r="C704" s="6"/>
      <c r="D704" s="6"/>
      <c r="E704" s="6"/>
      <c r="F704" s="6"/>
      <c r="G704" s="6"/>
      <c r="H704" s="6"/>
      <c r="I704" s="6"/>
      <c r="J704" s="6"/>
      <c r="K704" s="6"/>
      <c r="L704" s="6"/>
      <c r="M704" s="6"/>
      <c r="N704" s="6"/>
    </row>
    <row r="705" spans="1:14" x14ac:dyDescent="0.25">
      <c r="A705" s="18" t="s">
        <v>741</v>
      </c>
    </row>
    <row r="707" spans="1:14" x14ac:dyDescent="0.25">
      <c r="A707" t="s">
        <v>742</v>
      </c>
    </row>
    <row r="712" spans="1:14" x14ac:dyDescent="0.25">
      <c r="A712" s="10" t="s">
        <v>738</v>
      </c>
      <c r="B712" s="10"/>
      <c r="C712" s="10"/>
      <c r="D712" s="10"/>
      <c r="E712" s="10"/>
      <c r="F712" s="10"/>
      <c r="G712" s="10"/>
      <c r="H712" s="10"/>
      <c r="I712" s="10"/>
      <c r="J712" s="10"/>
      <c r="K712" s="10"/>
      <c r="L712" s="10"/>
      <c r="M712" s="10"/>
      <c r="N712" s="10"/>
    </row>
    <row r="713" spans="1:14" x14ac:dyDescent="0.25">
      <c r="A713" s="10" t="s">
        <v>737</v>
      </c>
      <c r="B713" s="10"/>
      <c r="C713" s="10"/>
      <c r="D713" s="10"/>
      <c r="E713" s="10"/>
      <c r="F713" s="10"/>
      <c r="G713" s="10"/>
      <c r="H713" s="10"/>
      <c r="I713" s="10"/>
      <c r="J713" s="10"/>
      <c r="K713" s="10"/>
      <c r="L713" s="10"/>
      <c r="M713" s="10"/>
      <c r="N713" s="10"/>
    </row>
    <row r="714" spans="1:14" x14ac:dyDescent="0.25">
      <c r="A714" s="18" t="s">
        <v>743</v>
      </c>
    </row>
    <row r="716" spans="1:14" x14ac:dyDescent="0.25">
      <c r="A716" s="15"/>
      <c r="B716" s="15" t="s">
        <v>450</v>
      </c>
      <c r="C716" s="15" t="s">
        <v>515</v>
      </c>
    </row>
    <row r="717" spans="1:14" x14ac:dyDescent="0.25">
      <c r="A717" s="15"/>
      <c r="B717" s="15" t="s">
        <v>228</v>
      </c>
      <c r="C717" s="15" t="s">
        <v>228</v>
      </c>
    </row>
    <row r="718" spans="1:14" x14ac:dyDescent="0.25">
      <c r="A718" s="15" t="s">
        <v>105</v>
      </c>
      <c r="B718" s="16">
        <f>0.235*1.5/G245</f>
        <v>6.6509433962264148E-3</v>
      </c>
      <c r="C718" s="16">
        <f>0.26*0.035/G245</f>
        <v>1.7169811320754717E-4</v>
      </c>
    </row>
    <row r="719" spans="1:14" x14ac:dyDescent="0.25">
      <c r="A719" s="15" t="s">
        <v>96</v>
      </c>
      <c r="B719" s="16">
        <f>0.075*1.5/G245</f>
        <v>2.1226415094339622E-3</v>
      </c>
      <c r="C719" s="16">
        <f>0.05*0.035/G245</f>
        <v>3.301886792452831E-5</v>
      </c>
    </row>
    <row r="732" spans="1:14" x14ac:dyDescent="0.25">
      <c r="A732" s="10" t="s">
        <v>744</v>
      </c>
      <c r="B732" s="10"/>
      <c r="C732" s="10"/>
      <c r="D732" s="10"/>
      <c r="E732" s="10"/>
      <c r="F732" s="10"/>
      <c r="G732" s="10"/>
      <c r="H732" s="10"/>
      <c r="I732" s="10"/>
      <c r="J732" s="10"/>
      <c r="K732" s="10"/>
      <c r="L732" s="10"/>
      <c r="M732" s="10"/>
      <c r="N732" s="10"/>
    </row>
    <row r="733" spans="1:14" x14ac:dyDescent="0.25">
      <c r="A733" s="10" t="s">
        <v>745</v>
      </c>
      <c r="B733" s="10"/>
      <c r="C733" s="10"/>
      <c r="D733" s="10"/>
      <c r="E733" s="10"/>
      <c r="F733" s="10"/>
      <c r="G733" s="10"/>
      <c r="H733" s="10"/>
      <c r="I733" s="10"/>
      <c r="J733" s="10"/>
      <c r="K733" s="10"/>
      <c r="L733" s="10"/>
      <c r="M733" s="10"/>
      <c r="N733" s="10"/>
    </row>
    <row r="734" spans="1:14" x14ac:dyDescent="0.25">
      <c r="A734" s="18" t="s">
        <v>746</v>
      </c>
    </row>
    <row r="737" spans="1:5" x14ac:dyDescent="0.25">
      <c r="B737" t="s">
        <v>388</v>
      </c>
      <c r="C737" t="s">
        <v>450</v>
      </c>
      <c r="D737" t="s">
        <v>747</v>
      </c>
      <c r="E737" t="s">
        <v>515</v>
      </c>
    </row>
    <row r="738" spans="1:5" x14ac:dyDescent="0.25">
      <c r="B738" t="s">
        <v>748</v>
      </c>
      <c r="C738" t="s">
        <v>748</v>
      </c>
      <c r="D738" t="s">
        <v>748</v>
      </c>
      <c r="E738" t="s">
        <v>748</v>
      </c>
    </row>
    <row r="739" spans="1:5" x14ac:dyDescent="0.25">
      <c r="A739" t="s">
        <v>351</v>
      </c>
      <c r="B739">
        <v>964</v>
      </c>
      <c r="C739">
        <v>1016</v>
      </c>
      <c r="D739">
        <v>1047</v>
      </c>
      <c r="E739">
        <v>1295</v>
      </c>
    </row>
    <row r="740" spans="1:5" x14ac:dyDescent="0.25">
      <c r="A740" t="s">
        <v>348</v>
      </c>
      <c r="B740">
        <v>92</v>
      </c>
      <c r="C740">
        <v>105</v>
      </c>
      <c r="D740">
        <v>119</v>
      </c>
      <c r="E740">
        <v>244</v>
      </c>
    </row>
    <row r="741" spans="1:5" x14ac:dyDescent="0.25">
      <c r="A741" t="s">
        <v>353</v>
      </c>
      <c r="B741">
        <v>26</v>
      </c>
      <c r="C741">
        <v>66</v>
      </c>
      <c r="D741">
        <v>79</v>
      </c>
      <c r="E741">
        <v>166</v>
      </c>
    </row>
    <row r="742" spans="1:5" x14ac:dyDescent="0.25">
      <c r="A742" t="s">
        <v>356</v>
      </c>
      <c r="B742">
        <v>11</v>
      </c>
      <c r="C742">
        <v>6.9</v>
      </c>
      <c r="D742">
        <v>6.9</v>
      </c>
      <c r="E742">
        <v>6.9</v>
      </c>
    </row>
    <row r="743" spans="1:5" x14ac:dyDescent="0.25">
      <c r="A743" t="s">
        <v>102</v>
      </c>
      <c r="C743">
        <v>0.2</v>
      </c>
      <c r="D743">
        <v>1.1000000000000001</v>
      </c>
      <c r="E743">
        <v>8.4</v>
      </c>
    </row>
    <row r="744" spans="1:5" x14ac:dyDescent="0.25">
      <c r="A744" t="s">
        <v>96</v>
      </c>
      <c r="C744">
        <f>AVERAGE(0.01,0.69)</f>
        <v>0.35</v>
      </c>
      <c r="D744">
        <f>AVERAGE(0.01,0.69)</f>
        <v>0.35</v>
      </c>
      <c r="E744">
        <f>AVERAGE(0.03,0.69)</f>
        <v>0.36</v>
      </c>
    </row>
    <row r="746" spans="1:5" x14ac:dyDescent="0.25">
      <c r="A746" s="15"/>
      <c r="B746" s="15"/>
      <c r="C746" s="15"/>
      <c r="D746" s="15"/>
      <c r="E746" s="15"/>
    </row>
    <row r="747" spans="1:5" x14ac:dyDescent="0.25">
      <c r="A747" s="15"/>
      <c r="B747" s="15" t="s">
        <v>388</v>
      </c>
      <c r="C747" s="15" t="s">
        <v>450</v>
      </c>
      <c r="D747" s="15" t="s">
        <v>747</v>
      </c>
      <c r="E747" s="15" t="s">
        <v>515</v>
      </c>
    </row>
    <row r="748" spans="1:5" x14ac:dyDescent="0.25">
      <c r="A748" s="15"/>
      <c r="B748" s="15" t="s">
        <v>193</v>
      </c>
      <c r="C748" s="15" t="s">
        <v>228</v>
      </c>
      <c r="D748" s="15" t="s">
        <v>228</v>
      </c>
      <c r="E748" s="15" t="s">
        <v>228</v>
      </c>
    </row>
    <row r="749" spans="1:5" x14ac:dyDescent="0.25">
      <c r="A749" s="15" t="s">
        <v>351</v>
      </c>
      <c r="B749" s="16">
        <f>B739/E$53</f>
        <v>0.58424242424242423</v>
      </c>
      <c r="C749" s="15"/>
      <c r="D749" s="15"/>
      <c r="E749" s="15"/>
    </row>
    <row r="750" spans="1:5" x14ac:dyDescent="0.25">
      <c r="A750" s="15" t="s">
        <v>348</v>
      </c>
      <c r="B750" s="16">
        <f t="shared" ref="B750:B754" si="59">B740/E$53</f>
        <v>5.5757575757575756E-2</v>
      </c>
      <c r="C750" s="15"/>
      <c r="D750" s="15"/>
      <c r="E750" s="15"/>
    </row>
    <row r="751" spans="1:5" x14ac:dyDescent="0.25">
      <c r="A751" s="15" t="s">
        <v>353</v>
      </c>
      <c r="B751" s="16">
        <f t="shared" si="59"/>
        <v>1.5757575757575758E-2</v>
      </c>
      <c r="C751" s="15"/>
      <c r="D751" s="15"/>
      <c r="E751" s="15"/>
    </row>
    <row r="752" spans="1:5" x14ac:dyDescent="0.25">
      <c r="A752" s="15" t="s">
        <v>356</v>
      </c>
      <c r="B752" s="16">
        <f t="shared" si="59"/>
        <v>6.6666666666666671E-3</v>
      </c>
      <c r="C752" s="16"/>
      <c r="D752" s="16"/>
      <c r="E752" s="16"/>
    </row>
    <row r="753" spans="1:14" x14ac:dyDescent="0.25">
      <c r="A753" s="15" t="s">
        <v>102</v>
      </c>
      <c r="B753" s="16">
        <f t="shared" si="59"/>
        <v>0</v>
      </c>
      <c r="C753" s="16"/>
      <c r="D753" s="16"/>
      <c r="E753" s="16"/>
    </row>
    <row r="754" spans="1:14" x14ac:dyDescent="0.25">
      <c r="A754" s="15" t="s">
        <v>96</v>
      </c>
      <c r="B754" s="16">
        <f t="shared" si="59"/>
        <v>0</v>
      </c>
      <c r="C754" s="16">
        <f>C744/G$245</f>
        <v>6.6037735849056598E-3</v>
      </c>
      <c r="D754" s="16">
        <f>D744/G$245</f>
        <v>6.6037735849056598E-3</v>
      </c>
      <c r="E754" s="16">
        <f>E744/G$245</f>
        <v>6.7924528301886791E-3</v>
      </c>
    </row>
    <row r="758" spans="1:14" x14ac:dyDescent="0.25">
      <c r="A758" s="6" t="s">
        <v>705</v>
      </c>
      <c r="B758" s="6"/>
      <c r="C758" s="6"/>
      <c r="D758" s="6"/>
      <c r="E758" s="6"/>
      <c r="F758" s="6"/>
      <c r="G758" s="6"/>
      <c r="H758" s="6"/>
      <c r="I758" s="6"/>
      <c r="J758" s="6"/>
      <c r="K758" s="6"/>
      <c r="L758" s="6"/>
      <c r="M758" s="6"/>
      <c r="N758" s="6"/>
    </row>
    <row r="759" spans="1:14" x14ac:dyDescent="0.25">
      <c r="A759" s="6" t="s">
        <v>707</v>
      </c>
      <c r="B759" s="6"/>
      <c r="C759" s="6"/>
      <c r="D759" s="6"/>
      <c r="E759" s="6"/>
      <c r="F759" s="6"/>
      <c r="G759" s="6"/>
      <c r="H759" s="6"/>
      <c r="I759" s="6"/>
      <c r="J759" s="6"/>
      <c r="K759" s="6"/>
      <c r="L759" s="6"/>
      <c r="M759" s="6"/>
      <c r="N759" s="6"/>
    </row>
    <row r="760" spans="1:14" x14ac:dyDescent="0.25">
      <c r="A760" s="18" t="s">
        <v>706</v>
      </c>
    </row>
    <row r="761" spans="1:14" x14ac:dyDescent="0.25">
      <c r="A761" t="s">
        <v>749</v>
      </c>
    </row>
    <row r="763" spans="1:14" x14ac:dyDescent="0.25">
      <c r="A763" t="s">
        <v>750</v>
      </c>
    </row>
    <row r="778" spans="1:13" x14ac:dyDescent="0.25">
      <c r="A778" s="6" t="s">
        <v>751</v>
      </c>
      <c r="B778" s="6"/>
      <c r="C778" s="6"/>
      <c r="D778" s="6"/>
      <c r="E778" s="6"/>
      <c r="F778" s="6"/>
      <c r="G778" s="6"/>
      <c r="H778" s="6"/>
      <c r="I778" s="6"/>
      <c r="J778" s="6"/>
      <c r="K778" s="6"/>
      <c r="L778" s="6"/>
      <c r="M778" s="6"/>
    </row>
    <row r="779" spans="1:13" x14ac:dyDescent="0.25">
      <c r="A779" s="6" t="s">
        <v>752</v>
      </c>
      <c r="B779" s="6"/>
      <c r="C779" s="6"/>
      <c r="D779" s="6"/>
      <c r="E779" s="6"/>
      <c r="F779" s="6"/>
      <c r="G779" s="6"/>
      <c r="H779" s="6"/>
      <c r="I779" s="6"/>
      <c r="J779" s="6"/>
      <c r="K779" s="6"/>
      <c r="L779" s="6"/>
      <c r="M779" s="6"/>
    </row>
    <row r="780" spans="1:13" x14ac:dyDescent="0.25">
      <c r="A780" t="s">
        <v>753</v>
      </c>
    </row>
    <row r="782" spans="1:13" x14ac:dyDescent="0.25">
      <c r="A782" t="s">
        <v>754</v>
      </c>
    </row>
    <row r="785" spans="1:13" x14ac:dyDescent="0.25">
      <c r="A785" s="6" t="s">
        <v>755</v>
      </c>
      <c r="B785" s="6"/>
      <c r="C785" s="6"/>
      <c r="D785" s="6"/>
      <c r="E785" s="6"/>
      <c r="F785" s="6"/>
      <c r="G785" s="6"/>
      <c r="H785" s="6"/>
      <c r="I785" s="6"/>
      <c r="J785" s="6"/>
      <c r="K785" s="6"/>
      <c r="L785" s="6"/>
      <c r="M785" s="6"/>
    </row>
    <row r="786" spans="1:13" x14ac:dyDescent="0.25">
      <c r="A786" s="6" t="s">
        <v>756</v>
      </c>
      <c r="B786" s="6"/>
      <c r="C786" s="6"/>
      <c r="D786" s="6"/>
      <c r="E786" s="6"/>
      <c r="F786" s="6"/>
      <c r="G786" s="6"/>
      <c r="H786" s="6"/>
      <c r="I786" s="6"/>
      <c r="J786" s="6"/>
      <c r="K786" s="6"/>
      <c r="L786" s="6"/>
      <c r="M786" s="6"/>
    </row>
    <row r="787" spans="1:13" x14ac:dyDescent="0.25">
      <c r="A787" s="18" t="s">
        <v>757</v>
      </c>
    </row>
    <row r="789" spans="1:13" x14ac:dyDescent="0.25">
      <c r="A789" t="s">
        <v>758</v>
      </c>
    </row>
    <row r="792" spans="1:13" x14ac:dyDescent="0.25">
      <c r="A792" s="6" t="s">
        <v>698</v>
      </c>
      <c r="B792" s="6"/>
      <c r="C792" s="6"/>
      <c r="D792" s="6"/>
      <c r="E792" s="6"/>
      <c r="F792" s="6"/>
      <c r="G792" s="6"/>
      <c r="H792" s="6"/>
      <c r="I792" s="6"/>
      <c r="J792" s="6"/>
      <c r="K792" s="6"/>
      <c r="L792" s="6"/>
      <c r="M792" s="6"/>
    </row>
    <row r="793" spans="1:13" x14ac:dyDescent="0.25">
      <c r="A793" s="6" t="s">
        <v>699</v>
      </c>
      <c r="B793" s="6"/>
      <c r="C793" s="6"/>
      <c r="D793" s="6"/>
      <c r="E793" s="6"/>
      <c r="F793" s="6"/>
      <c r="G793" s="6"/>
      <c r="H793" s="6"/>
      <c r="I793" s="6"/>
      <c r="J793" s="6"/>
      <c r="K793" s="6"/>
      <c r="L793" s="6"/>
      <c r="M793" s="6"/>
    </row>
    <row r="796" spans="1:13" x14ac:dyDescent="0.25">
      <c r="A796" t="s">
        <v>759</v>
      </c>
    </row>
  </sheetData>
  <sortState xmlns:xlrd2="http://schemas.microsoft.com/office/spreadsheetml/2017/richdata2" ref="AC87:AP144">
    <sortCondition ref="AD87:AD144"/>
  </sortState>
  <mergeCells count="134">
    <mergeCell ref="A328:D328"/>
    <mergeCell ref="A329:B330"/>
    <mergeCell ref="C329:E330"/>
    <mergeCell ref="F329:H330"/>
    <mergeCell ref="I329:J330"/>
    <mergeCell ref="K329:M330"/>
    <mergeCell ref="B410:C410"/>
    <mergeCell ref="B441:E441"/>
    <mergeCell ref="B458:E458"/>
    <mergeCell ref="M338:P339"/>
    <mergeCell ref="B339:C339"/>
    <mergeCell ref="D339:F339"/>
    <mergeCell ref="B340:C340"/>
    <mergeCell ref="D340:F340"/>
    <mergeCell ref="G340:I340"/>
    <mergeCell ref="M340:P340"/>
    <mergeCell ref="A335:D335"/>
    <mergeCell ref="A338:A339"/>
    <mergeCell ref="B338:C338"/>
    <mergeCell ref="D338:F338"/>
    <mergeCell ref="G338:I339"/>
    <mergeCell ref="J338:L338"/>
    <mergeCell ref="B341:C341"/>
    <mergeCell ref="D341:F341"/>
    <mergeCell ref="G341:I341"/>
    <mergeCell ref="M341:P341"/>
    <mergeCell ref="B342:C342"/>
    <mergeCell ref="D342:F342"/>
    <mergeCell ref="G342:I342"/>
    <mergeCell ref="M342:P342"/>
    <mergeCell ref="N329:O330"/>
    <mergeCell ref="P329:P330"/>
    <mergeCell ref="A331:B332"/>
    <mergeCell ref="C331:E332"/>
    <mergeCell ref="F331:H332"/>
    <mergeCell ref="I331:J332"/>
    <mergeCell ref="K331:M332"/>
    <mergeCell ref="N331:O332"/>
    <mergeCell ref="P331:P332"/>
    <mergeCell ref="B345:C345"/>
    <mergeCell ref="D345:F345"/>
    <mergeCell ref="G345:I345"/>
    <mergeCell ref="M345:P345"/>
    <mergeCell ref="B346:C346"/>
    <mergeCell ref="D346:F346"/>
    <mergeCell ref="G346:I346"/>
    <mergeCell ref="M346:P346"/>
    <mergeCell ref="B343:C343"/>
    <mergeCell ref="D343:F343"/>
    <mergeCell ref="G343:I343"/>
    <mergeCell ref="M343:P343"/>
    <mergeCell ref="B344:C344"/>
    <mergeCell ref="D344:F344"/>
    <mergeCell ref="G344:I344"/>
    <mergeCell ref="M344:P344"/>
    <mergeCell ref="B349:C349"/>
    <mergeCell ref="D349:F349"/>
    <mergeCell ref="G349:I349"/>
    <mergeCell ref="M349:P349"/>
    <mergeCell ref="B350:C350"/>
    <mergeCell ref="D350:F350"/>
    <mergeCell ref="G350:I350"/>
    <mergeCell ref="M350:P350"/>
    <mergeCell ref="B347:C347"/>
    <mergeCell ref="D347:F347"/>
    <mergeCell ref="G347:I347"/>
    <mergeCell ref="M347:P347"/>
    <mergeCell ref="B348:C348"/>
    <mergeCell ref="D348:F348"/>
    <mergeCell ref="G348:I348"/>
    <mergeCell ref="M348:P348"/>
    <mergeCell ref="B353:C353"/>
    <mergeCell ref="D353:F353"/>
    <mergeCell ref="G353:I353"/>
    <mergeCell ref="M353:P353"/>
    <mergeCell ref="B354:C354"/>
    <mergeCell ref="D354:F354"/>
    <mergeCell ref="G354:I354"/>
    <mergeCell ref="M354:P354"/>
    <mergeCell ref="B351:C351"/>
    <mergeCell ref="D351:F351"/>
    <mergeCell ref="G351:I351"/>
    <mergeCell ref="M351:P351"/>
    <mergeCell ref="B352:C352"/>
    <mergeCell ref="D352:F352"/>
    <mergeCell ref="G352:I352"/>
    <mergeCell ref="M352:P352"/>
    <mergeCell ref="B357:C357"/>
    <mergeCell ref="D357:F357"/>
    <mergeCell ref="G357:I357"/>
    <mergeCell ref="M357:P357"/>
    <mergeCell ref="B358:C358"/>
    <mergeCell ref="D358:F358"/>
    <mergeCell ref="G358:I358"/>
    <mergeCell ref="M358:P358"/>
    <mergeCell ref="B355:C355"/>
    <mergeCell ref="D355:F355"/>
    <mergeCell ref="G355:I355"/>
    <mergeCell ref="M355:P355"/>
    <mergeCell ref="B356:C356"/>
    <mergeCell ref="D356:F356"/>
    <mergeCell ref="G356:I356"/>
    <mergeCell ref="M356:P356"/>
    <mergeCell ref="B361:C361"/>
    <mergeCell ref="D361:F361"/>
    <mergeCell ref="G361:I361"/>
    <mergeCell ref="M361:P361"/>
    <mergeCell ref="B362:C362"/>
    <mergeCell ref="D362:F362"/>
    <mergeCell ref="G362:I362"/>
    <mergeCell ref="M362:P362"/>
    <mergeCell ref="B359:C359"/>
    <mergeCell ref="D359:F359"/>
    <mergeCell ref="G359:I359"/>
    <mergeCell ref="M359:P359"/>
    <mergeCell ref="B360:C360"/>
    <mergeCell ref="D360:F360"/>
    <mergeCell ref="G360:I360"/>
    <mergeCell ref="M360:P360"/>
    <mergeCell ref="B649:B660"/>
    <mergeCell ref="A649:A661"/>
    <mergeCell ref="A646:C648"/>
    <mergeCell ref="A662:A677"/>
    <mergeCell ref="B662:B677"/>
    <mergeCell ref="B363:C363"/>
    <mergeCell ref="D363:F363"/>
    <mergeCell ref="G363:I363"/>
    <mergeCell ref="M363:P363"/>
    <mergeCell ref="B364:C364"/>
    <mergeCell ref="D364:F364"/>
    <mergeCell ref="G364:I364"/>
    <mergeCell ref="M364:P364"/>
    <mergeCell ref="B475:E475"/>
    <mergeCell ref="H441:K441"/>
  </mergeCells>
  <hyperlinks>
    <hyperlink ref="A25" r:id="rId1" xr:uid="{00000000-0004-0000-0000-000000000000}"/>
    <hyperlink ref="A60" r:id="rId2" xr:uid="{00000000-0004-0000-0000-000001000000}"/>
    <hyperlink ref="A81" r:id="rId3" xr:uid="{00000000-0004-0000-0000-000002000000}"/>
    <hyperlink ref="A215" r:id="rId4" xr:uid="{00000000-0004-0000-0000-000003000000}"/>
    <hyperlink ref="A220" r:id="rId5" xr:uid="{00000000-0004-0000-0000-000004000000}"/>
    <hyperlink ref="A232" r:id="rId6" xr:uid="{00000000-0004-0000-0000-000005000000}"/>
    <hyperlink ref="A244" r:id="rId7" xr:uid="{00000000-0004-0000-0000-000006000000}"/>
    <hyperlink ref="A257" r:id="rId8" xr:uid="{00000000-0004-0000-0000-000007000000}"/>
    <hyperlink ref="A289" r:id="rId9" xr:uid="{00000000-0004-0000-0000-000008000000}"/>
    <hyperlink ref="A325" r:id="rId10" location="S" xr:uid="{00000000-0004-0000-0000-000009000000}"/>
    <hyperlink ref="A384" r:id="rId11" xr:uid="{00000000-0004-0000-0000-00000A000000}"/>
    <hyperlink ref="A437" r:id="rId12" xr:uid="{00000000-0004-0000-0000-00000B000000}"/>
    <hyperlink ref="A494" r:id="rId13" xr:uid="{00000000-0004-0000-0000-00000C000000}"/>
    <hyperlink ref="A501" r:id="rId14" xr:uid="{00000000-0004-0000-0000-00000D000000}"/>
    <hyperlink ref="A521" r:id="rId15" xr:uid="{00000000-0004-0000-0000-00000E000000}"/>
    <hyperlink ref="A541" r:id="rId16" xr:uid="{00000000-0004-0000-0000-00000F000000}"/>
    <hyperlink ref="A565" r:id="rId17" xr:uid="{00000000-0004-0000-0000-000010000000}"/>
    <hyperlink ref="A571" r:id="rId18" xr:uid="{00000000-0004-0000-0000-000011000000}"/>
    <hyperlink ref="A579" r:id="rId19" xr:uid="{00000000-0004-0000-0000-000012000000}"/>
    <hyperlink ref="A547" r:id="rId20" xr:uid="{00000000-0004-0000-0000-000013000000}"/>
    <hyperlink ref="A198" r:id="rId21" xr:uid="{00000000-0004-0000-0000-000014000000}"/>
    <hyperlink ref="A643" r:id="rId22" xr:uid="{00000000-0004-0000-0000-000015000000}"/>
    <hyperlink ref="A692" r:id="rId23" display="https://op.europa.eu/en/publication-detail/-/publication/7f3762be-aafe-11e6-aab7-01aa75ed71a1/language-en" xr:uid="{00000000-0004-0000-0000-000016000000}"/>
    <hyperlink ref="A705" r:id="rId24" xr:uid="{00000000-0004-0000-0000-000017000000}"/>
    <hyperlink ref="A714" r:id="rId25" xr:uid="{00000000-0004-0000-0000-000018000000}"/>
    <hyperlink ref="A734" r:id="rId26" xr:uid="{00000000-0004-0000-0000-000019000000}"/>
    <hyperlink ref="A760" r:id="rId27" xr:uid="{00000000-0004-0000-0000-00001A000000}"/>
    <hyperlink ref="A787" r:id="rId28" xr:uid="{00000000-0004-0000-0000-00001B000000}"/>
  </hyperlinks>
  <pageMargins left="0.7" right="0.7" top="0.75" bottom="0.75" header="0.3" footer="0.3"/>
  <pageSetup paperSize="9" orientation="portrait" r:id="rId29"/>
  <drawing r:id="rId3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4" tint="0.39997558519241921"/>
  </sheetPr>
  <dimension ref="A1:N593"/>
  <sheetViews>
    <sheetView topLeftCell="A25" zoomScale="115" zoomScaleNormal="115" workbookViewId="0">
      <selection activeCell="A579" sqref="A579"/>
    </sheetView>
  </sheetViews>
  <sheetFormatPr defaultRowHeight="15" x14ac:dyDescent="0.25"/>
  <cols>
    <col min="1" max="1" width="19.140625" customWidth="1"/>
    <col min="2" max="2" width="22.5703125" bestFit="1" customWidth="1"/>
    <col min="3" max="3" width="16.85546875" bestFit="1" customWidth="1"/>
    <col min="4" max="4" width="13.85546875" customWidth="1"/>
  </cols>
  <sheetData>
    <row r="1" spans="1:14" x14ac:dyDescent="0.25">
      <c r="A1" s="5" t="s">
        <v>5</v>
      </c>
      <c r="B1" s="5"/>
      <c r="C1" s="5"/>
      <c r="D1" s="5"/>
      <c r="E1" s="5"/>
      <c r="F1" s="5"/>
      <c r="G1" s="5"/>
      <c r="H1" s="5"/>
      <c r="I1" s="5"/>
      <c r="J1" s="5"/>
      <c r="K1" s="5"/>
    </row>
    <row r="2" spans="1:14" x14ac:dyDescent="0.25">
      <c r="A2" s="4" t="s">
        <v>6</v>
      </c>
      <c r="B2" s="4"/>
      <c r="C2" s="4"/>
      <c r="D2" s="4"/>
      <c r="E2" s="4"/>
      <c r="F2" s="4"/>
      <c r="G2" s="4"/>
      <c r="H2" s="4"/>
      <c r="I2" s="4"/>
      <c r="J2" s="4"/>
      <c r="K2" s="4"/>
    </row>
    <row r="3" spans="1:14" x14ac:dyDescent="0.25">
      <c r="A3" s="7" t="s">
        <v>8</v>
      </c>
      <c r="B3" s="7"/>
      <c r="C3" s="7"/>
      <c r="D3" s="7"/>
      <c r="E3" s="7"/>
      <c r="F3" s="7"/>
      <c r="G3" s="7"/>
      <c r="H3" s="7"/>
      <c r="I3" s="7"/>
      <c r="J3" s="7"/>
      <c r="K3" s="7"/>
    </row>
    <row r="5" spans="1:14" x14ac:dyDescent="0.25">
      <c r="A5" s="5" t="s">
        <v>200</v>
      </c>
      <c r="B5" s="5"/>
      <c r="C5" s="5"/>
      <c r="D5" s="5"/>
      <c r="E5" s="5"/>
      <c r="F5" s="5"/>
      <c r="G5" s="5"/>
      <c r="H5" s="5"/>
      <c r="I5" s="5"/>
      <c r="J5" s="5"/>
      <c r="K5" s="5"/>
      <c r="L5" s="5"/>
      <c r="M5" s="5"/>
      <c r="N5" s="5"/>
    </row>
    <row r="6" spans="1:14" x14ac:dyDescent="0.25">
      <c r="A6" s="29" t="s">
        <v>201</v>
      </c>
      <c r="B6" s="5"/>
      <c r="C6" s="5"/>
      <c r="D6" s="5"/>
      <c r="E6" s="5"/>
      <c r="F6" s="5"/>
      <c r="G6" s="5"/>
      <c r="H6" s="5"/>
      <c r="I6" s="5"/>
      <c r="J6" s="5"/>
      <c r="K6" s="5"/>
      <c r="L6" s="5"/>
      <c r="M6" s="5"/>
      <c r="N6" s="5"/>
    </row>
    <row r="7" spans="1:14" x14ac:dyDescent="0.25">
      <c r="A7" s="18" t="s">
        <v>202</v>
      </c>
    </row>
    <row r="8" spans="1:14" x14ac:dyDescent="0.25">
      <c r="A8" t="s">
        <v>212</v>
      </c>
    </row>
    <row r="12" spans="1:14" x14ac:dyDescent="0.25">
      <c r="B12" t="s">
        <v>548</v>
      </c>
      <c r="C12" t="s">
        <v>549</v>
      </c>
    </row>
    <row r="13" spans="1:14" x14ac:dyDescent="0.25">
      <c r="A13" t="s">
        <v>18</v>
      </c>
      <c r="C13">
        <f>13</f>
        <v>13</v>
      </c>
    </row>
    <row r="14" spans="1:14" x14ac:dyDescent="0.25">
      <c r="A14" t="s">
        <v>26</v>
      </c>
      <c r="C14">
        <f>200</f>
        <v>200</v>
      </c>
    </row>
    <row r="15" spans="1:14" x14ac:dyDescent="0.25">
      <c r="A15" t="s">
        <v>0</v>
      </c>
      <c r="B15">
        <f>4982</f>
        <v>4982</v>
      </c>
      <c r="C15">
        <f>4700</f>
        <v>4700</v>
      </c>
    </row>
    <row r="16" spans="1:14" x14ac:dyDescent="0.25">
      <c r="A16" t="s">
        <v>265</v>
      </c>
      <c r="B16">
        <f>377</f>
        <v>377</v>
      </c>
      <c r="C16">
        <f>377</f>
        <v>377</v>
      </c>
    </row>
    <row r="19" spans="1:14" x14ac:dyDescent="0.25">
      <c r="B19" s="13"/>
    </row>
    <row r="20" spans="1:14" x14ac:dyDescent="0.25">
      <c r="B20" s="13"/>
    </row>
    <row r="21" spans="1:14" x14ac:dyDescent="0.25">
      <c r="B21" s="13"/>
    </row>
    <row r="27" spans="1:14" x14ac:dyDescent="0.25">
      <c r="A27" s="65" t="s">
        <v>522</v>
      </c>
      <c r="B27" s="65"/>
      <c r="C27" s="65"/>
      <c r="D27" s="65"/>
      <c r="E27" s="65"/>
      <c r="F27" s="65"/>
      <c r="G27" s="65"/>
      <c r="H27" s="65"/>
      <c r="I27" s="65"/>
      <c r="J27" s="65"/>
      <c r="K27" s="65"/>
      <c r="L27" s="65"/>
      <c r="M27" s="65"/>
      <c r="N27" s="65"/>
    </row>
    <row r="28" spans="1:14" x14ac:dyDescent="0.25">
      <c r="A28" s="66" t="s">
        <v>523</v>
      </c>
      <c r="B28" s="65"/>
      <c r="C28" s="65"/>
      <c r="D28" s="65"/>
      <c r="E28" s="65"/>
      <c r="F28" s="65"/>
      <c r="G28" s="65"/>
      <c r="H28" s="65"/>
      <c r="I28" s="65"/>
      <c r="J28" s="65"/>
      <c r="K28" s="65"/>
      <c r="L28" s="65"/>
      <c r="M28" s="65"/>
      <c r="N28" s="65"/>
    </row>
    <row r="29" spans="1:14" x14ac:dyDescent="0.25">
      <c r="A29" s="18" t="s">
        <v>524</v>
      </c>
    </row>
    <row r="30" spans="1:14" x14ac:dyDescent="0.25">
      <c r="A30" t="s">
        <v>532</v>
      </c>
    </row>
    <row r="32" spans="1:14" x14ac:dyDescent="0.25">
      <c r="A32" t="s">
        <v>546</v>
      </c>
    </row>
    <row r="34" spans="1:14" x14ac:dyDescent="0.25">
      <c r="B34" t="s">
        <v>533</v>
      </c>
      <c r="C34" t="s">
        <v>534</v>
      </c>
    </row>
    <row r="35" spans="1:14" x14ac:dyDescent="0.25">
      <c r="A35" t="s">
        <v>235</v>
      </c>
      <c r="B35">
        <v>15579</v>
      </c>
      <c r="C35">
        <f>B35*1000/100</f>
        <v>155790</v>
      </c>
    </row>
    <row r="36" spans="1:14" x14ac:dyDescent="0.25">
      <c r="A36" t="s">
        <v>236</v>
      </c>
      <c r="B36">
        <v>221</v>
      </c>
      <c r="C36">
        <f t="shared" ref="C36:C38" si="0">B36*1000/100</f>
        <v>2210</v>
      </c>
    </row>
    <row r="37" spans="1:14" x14ac:dyDescent="0.25">
      <c r="A37" t="s">
        <v>0</v>
      </c>
      <c r="B37">
        <v>96</v>
      </c>
      <c r="C37">
        <f t="shared" si="0"/>
        <v>960</v>
      </c>
    </row>
    <row r="38" spans="1:14" x14ac:dyDescent="0.25">
      <c r="A38" t="s">
        <v>531</v>
      </c>
      <c r="B38">
        <v>618</v>
      </c>
      <c r="C38">
        <f t="shared" si="0"/>
        <v>6180</v>
      </c>
    </row>
    <row r="45" spans="1:14" x14ac:dyDescent="0.25">
      <c r="A45" s="65" t="s">
        <v>525</v>
      </c>
      <c r="B45" s="65"/>
      <c r="C45" s="65"/>
      <c r="D45" s="65"/>
      <c r="E45" s="65"/>
      <c r="F45" s="65"/>
      <c r="G45" s="65"/>
      <c r="H45" s="65"/>
      <c r="I45" s="65"/>
      <c r="J45" s="65"/>
      <c r="K45" s="65"/>
      <c r="L45" s="65"/>
      <c r="M45" s="65"/>
      <c r="N45" s="65"/>
    </row>
    <row r="46" spans="1:14" x14ac:dyDescent="0.25">
      <c r="A46" s="66" t="s">
        <v>526</v>
      </c>
      <c r="B46" s="65"/>
      <c r="C46" s="65"/>
      <c r="D46" s="65"/>
      <c r="E46" s="65"/>
      <c r="F46" s="65"/>
      <c r="G46" s="65"/>
      <c r="H46" s="65"/>
      <c r="I46" s="65"/>
      <c r="J46" s="65"/>
      <c r="K46" s="65"/>
      <c r="L46" s="65"/>
      <c r="M46" s="65"/>
      <c r="N46" s="65"/>
    </row>
    <row r="47" spans="1:14" x14ac:dyDescent="0.25">
      <c r="A47" s="18" t="s">
        <v>527</v>
      </c>
    </row>
    <row r="48" spans="1:14" x14ac:dyDescent="0.25">
      <c r="A48" t="s">
        <v>532</v>
      </c>
    </row>
    <row r="50" spans="1:14" x14ac:dyDescent="0.25">
      <c r="A50" t="s">
        <v>547</v>
      </c>
    </row>
    <row r="52" spans="1:14" x14ac:dyDescent="0.25">
      <c r="B52" t="s">
        <v>533</v>
      </c>
      <c r="C52" t="s">
        <v>534</v>
      </c>
    </row>
    <row r="53" spans="1:14" x14ac:dyDescent="0.25">
      <c r="A53" t="s">
        <v>235</v>
      </c>
      <c r="B53">
        <v>5002</v>
      </c>
      <c r="C53">
        <f>B53*1000/50</f>
        <v>100040</v>
      </c>
    </row>
    <row r="54" spans="1:14" x14ac:dyDescent="0.25">
      <c r="A54" t="s">
        <v>236</v>
      </c>
      <c r="B54">
        <v>62</v>
      </c>
      <c r="C54">
        <f t="shared" ref="C54:C56" si="1">B54*1000/50</f>
        <v>1240</v>
      </c>
    </row>
    <row r="55" spans="1:14" x14ac:dyDescent="0.25">
      <c r="A55" t="s">
        <v>0</v>
      </c>
      <c r="B55">
        <v>47</v>
      </c>
      <c r="C55">
        <f t="shared" si="1"/>
        <v>940</v>
      </c>
    </row>
    <row r="56" spans="1:14" x14ac:dyDescent="0.25">
      <c r="A56" t="s">
        <v>531</v>
      </c>
      <c r="B56">
        <v>190</v>
      </c>
      <c r="C56">
        <f t="shared" si="1"/>
        <v>3800</v>
      </c>
    </row>
    <row r="62" spans="1:14" x14ac:dyDescent="0.25">
      <c r="A62" s="5" t="s">
        <v>528</v>
      </c>
      <c r="B62" s="5"/>
      <c r="C62" s="5"/>
      <c r="D62" s="5"/>
      <c r="E62" s="5"/>
      <c r="F62" s="5"/>
      <c r="G62" s="5"/>
      <c r="H62" s="5"/>
      <c r="I62" s="5"/>
      <c r="J62" s="5"/>
      <c r="K62" s="5"/>
      <c r="L62" s="5"/>
      <c r="M62" s="5"/>
      <c r="N62" s="5"/>
    </row>
    <row r="63" spans="1:14" x14ac:dyDescent="0.25">
      <c r="A63" s="29" t="s">
        <v>529</v>
      </c>
      <c r="B63" s="5"/>
      <c r="C63" s="5"/>
      <c r="D63" s="5"/>
      <c r="E63" s="5"/>
      <c r="F63" s="5"/>
      <c r="G63" s="5"/>
      <c r="H63" s="5"/>
      <c r="I63" s="5"/>
      <c r="J63" s="5"/>
      <c r="K63" s="5"/>
      <c r="L63" s="5"/>
      <c r="M63" s="5"/>
      <c r="N63" s="5"/>
    </row>
    <row r="64" spans="1:14" x14ac:dyDescent="0.25">
      <c r="A64" s="18" t="s">
        <v>530</v>
      </c>
    </row>
    <row r="65" spans="1:14" x14ac:dyDescent="0.25">
      <c r="A65" t="s">
        <v>535</v>
      </c>
    </row>
    <row r="68" spans="1:14" x14ac:dyDescent="0.25">
      <c r="A68" s="68" t="s">
        <v>536</v>
      </c>
      <c r="B68" s="68" t="s">
        <v>16</v>
      </c>
      <c r="C68" s="68" t="s">
        <v>537</v>
      </c>
    </row>
    <row r="69" spans="1:14" x14ac:dyDescent="0.25">
      <c r="A69" s="15" t="s">
        <v>538</v>
      </c>
      <c r="B69" s="15" t="s">
        <v>26</v>
      </c>
      <c r="C69" s="15">
        <v>201.5</v>
      </c>
    </row>
    <row r="70" spans="1:14" x14ac:dyDescent="0.25">
      <c r="A70" s="67"/>
      <c r="B70" s="67" t="s">
        <v>18</v>
      </c>
      <c r="C70" s="67">
        <v>15</v>
      </c>
    </row>
    <row r="71" spans="1:14" x14ac:dyDescent="0.25">
      <c r="A71" s="15" t="s">
        <v>539</v>
      </c>
      <c r="B71" s="15" t="s">
        <v>26</v>
      </c>
      <c r="C71" s="15">
        <v>49.6</v>
      </c>
    </row>
    <row r="72" spans="1:14" x14ac:dyDescent="0.25">
      <c r="A72" s="67"/>
      <c r="B72" s="67" t="s">
        <v>18</v>
      </c>
      <c r="C72" s="67">
        <v>3.7</v>
      </c>
    </row>
    <row r="73" spans="1:14" x14ac:dyDescent="0.25">
      <c r="A73" s="15" t="s">
        <v>540</v>
      </c>
      <c r="B73" s="15" t="s">
        <v>26</v>
      </c>
      <c r="C73" s="15">
        <v>24.8</v>
      </c>
    </row>
    <row r="74" spans="1:14" x14ac:dyDescent="0.25">
      <c r="A74" s="67"/>
      <c r="B74" s="67" t="s">
        <v>18</v>
      </c>
      <c r="C74" s="67">
        <v>1.8</v>
      </c>
    </row>
    <row r="75" spans="1:14" x14ac:dyDescent="0.25">
      <c r="A75" s="68" t="s">
        <v>541</v>
      </c>
      <c r="B75" s="68" t="s">
        <v>36</v>
      </c>
      <c r="C75" s="68">
        <v>0.3</v>
      </c>
    </row>
    <row r="80" spans="1:14" x14ac:dyDescent="0.25">
      <c r="A80" s="6" t="s">
        <v>542</v>
      </c>
      <c r="B80" s="6"/>
      <c r="C80" s="6"/>
      <c r="D80" s="6"/>
      <c r="E80" s="6"/>
      <c r="F80" s="6"/>
      <c r="G80" s="6"/>
      <c r="H80" s="6"/>
      <c r="I80" s="6"/>
      <c r="J80" s="6"/>
      <c r="K80" s="6"/>
      <c r="L80" s="6"/>
      <c r="M80" s="6"/>
      <c r="N80" s="6"/>
    </row>
    <row r="81" spans="1:14" x14ac:dyDescent="0.25">
      <c r="A81" s="30" t="s">
        <v>543</v>
      </c>
      <c r="B81" s="6"/>
      <c r="C81" s="6"/>
      <c r="D81" s="6"/>
      <c r="E81" s="6"/>
      <c r="F81" s="6"/>
      <c r="G81" s="6"/>
      <c r="H81" s="6"/>
      <c r="I81" s="6"/>
      <c r="J81" s="6"/>
      <c r="K81" s="6"/>
      <c r="L81" s="6"/>
      <c r="M81" s="6"/>
      <c r="N81" s="6"/>
    </row>
    <row r="82" spans="1:14" x14ac:dyDescent="0.25">
      <c r="A82" s="18" t="s">
        <v>544</v>
      </c>
    </row>
    <row r="84" spans="1:14" x14ac:dyDescent="0.25">
      <c r="A84" t="s">
        <v>545</v>
      </c>
    </row>
    <row r="86" spans="1:14" x14ac:dyDescent="0.25">
      <c r="B86" t="s">
        <v>537</v>
      </c>
    </row>
    <row r="87" spans="1:14" x14ac:dyDescent="0.25">
      <c r="A87" t="s">
        <v>36</v>
      </c>
      <c r="B87" s="15">
        <v>2.2999999999999998</v>
      </c>
    </row>
    <row r="93" spans="1:14" x14ac:dyDescent="0.25">
      <c r="A93" s="6" t="s">
        <v>550</v>
      </c>
      <c r="B93" s="6"/>
      <c r="C93" s="6"/>
      <c r="D93" s="6"/>
      <c r="E93" s="6"/>
      <c r="F93" s="6"/>
      <c r="G93" s="6"/>
      <c r="H93" s="6"/>
      <c r="I93" s="6"/>
      <c r="J93" s="6"/>
      <c r="K93" s="6"/>
      <c r="L93" s="6"/>
      <c r="M93" s="6"/>
      <c r="N93" s="6"/>
    </row>
    <row r="94" spans="1:14" x14ac:dyDescent="0.25">
      <c r="A94" s="30" t="s">
        <v>551</v>
      </c>
      <c r="B94" s="6"/>
      <c r="C94" s="6"/>
      <c r="D94" s="6"/>
      <c r="E94" s="6"/>
      <c r="F94" s="6"/>
      <c r="G94" s="6"/>
      <c r="H94" s="6"/>
      <c r="I94" s="6"/>
      <c r="J94" s="6"/>
      <c r="K94" s="6"/>
      <c r="L94" s="6"/>
      <c r="M94" s="6"/>
      <c r="N94" s="6"/>
    </row>
    <row r="96" spans="1:14" x14ac:dyDescent="0.25">
      <c r="A96" t="s">
        <v>552</v>
      </c>
    </row>
    <row r="99" spans="1:14" x14ac:dyDescent="0.25">
      <c r="A99" s="5" t="s">
        <v>553</v>
      </c>
      <c r="B99" s="5"/>
      <c r="C99" s="5"/>
      <c r="D99" s="5"/>
      <c r="E99" s="5"/>
      <c r="F99" s="5"/>
      <c r="G99" s="5"/>
      <c r="H99" s="5"/>
      <c r="I99" s="5"/>
      <c r="J99" s="5"/>
      <c r="K99" s="5"/>
      <c r="L99" s="5"/>
      <c r="M99" s="5"/>
      <c r="N99" s="5"/>
    </row>
    <row r="100" spans="1:14" x14ac:dyDescent="0.25">
      <c r="A100" s="29" t="s">
        <v>554</v>
      </c>
      <c r="B100" s="5"/>
      <c r="C100" s="5"/>
      <c r="D100" s="5"/>
      <c r="E100" s="5"/>
      <c r="F100" s="5"/>
      <c r="G100" s="5"/>
      <c r="H100" s="5"/>
      <c r="I100" s="5"/>
      <c r="J100" s="5"/>
      <c r="K100" s="5"/>
      <c r="L100" s="5"/>
      <c r="M100" s="5"/>
      <c r="N100" s="5"/>
    </row>
    <row r="101" spans="1:14" x14ac:dyDescent="0.25">
      <c r="A101" s="18" t="s">
        <v>555</v>
      </c>
    </row>
    <row r="102" spans="1:14" x14ac:dyDescent="0.25">
      <c r="A102" t="s">
        <v>556</v>
      </c>
    </row>
    <row r="104" spans="1:14" x14ac:dyDescent="0.25">
      <c r="A104" s="15" t="s">
        <v>562</v>
      </c>
    </row>
    <row r="105" spans="1:14" x14ac:dyDescent="0.25">
      <c r="B105" t="s">
        <v>537</v>
      </c>
    </row>
    <row r="106" spans="1:14" x14ac:dyDescent="0.25">
      <c r="A106" t="s">
        <v>26</v>
      </c>
      <c r="B106">
        <v>216</v>
      </c>
    </row>
    <row r="109" spans="1:14" x14ac:dyDescent="0.25">
      <c r="A109" s="5" t="s">
        <v>558</v>
      </c>
      <c r="B109" s="5"/>
      <c r="C109" s="5"/>
      <c r="D109" s="5"/>
      <c r="E109" s="5"/>
      <c r="F109" s="5"/>
      <c r="G109" s="5"/>
      <c r="H109" s="5"/>
      <c r="I109" s="5"/>
      <c r="J109" s="5"/>
      <c r="K109" s="5"/>
      <c r="L109" s="5"/>
      <c r="M109" s="5"/>
      <c r="N109" s="5"/>
    </row>
    <row r="110" spans="1:14" x14ac:dyDescent="0.25">
      <c r="A110" s="29" t="s">
        <v>557</v>
      </c>
      <c r="B110" s="5"/>
      <c r="C110" s="5"/>
      <c r="D110" s="5"/>
      <c r="E110" s="5"/>
      <c r="F110" s="5"/>
      <c r="G110" s="5"/>
      <c r="H110" s="5"/>
      <c r="I110" s="5"/>
      <c r="J110" s="5"/>
      <c r="K110" s="5"/>
      <c r="L110" s="5"/>
      <c r="M110" s="5"/>
      <c r="N110" s="5"/>
    </row>
    <row r="111" spans="1:14" x14ac:dyDescent="0.25">
      <c r="A111" s="18" t="s">
        <v>559</v>
      </c>
    </row>
    <row r="112" spans="1:14" x14ac:dyDescent="0.25">
      <c r="A112" t="s">
        <v>560</v>
      </c>
    </row>
    <row r="114" spans="1:14" x14ac:dyDescent="0.25">
      <c r="A114" t="s">
        <v>563</v>
      </c>
      <c r="B114" s="15" t="s">
        <v>562</v>
      </c>
    </row>
    <row r="116" spans="1:14" x14ac:dyDescent="0.25">
      <c r="A116" t="s">
        <v>564</v>
      </c>
      <c r="B116">
        <f>AVERAGE(0.625,0.67,0.8,0.85)*1000</f>
        <v>736.25</v>
      </c>
      <c r="D116" s="15"/>
      <c r="E116" s="69" t="s">
        <v>537</v>
      </c>
    </row>
    <row r="117" spans="1:14" x14ac:dyDescent="0.25">
      <c r="A117" t="s">
        <v>565</v>
      </c>
      <c r="B117">
        <f>AVERAGE(0.29,0.31,0.28,0.3)</f>
        <v>0.29499999999999998</v>
      </c>
      <c r="D117" s="15" t="s">
        <v>105</v>
      </c>
      <c r="E117" s="15">
        <f>B117*B$116</f>
        <v>217.19374999999999</v>
      </c>
    </row>
    <row r="118" spans="1:14" x14ac:dyDescent="0.25">
      <c r="A118" t="s">
        <v>566</v>
      </c>
      <c r="B118">
        <f>AVERAGE(0.03,0.02)</f>
        <v>2.5000000000000001E-2</v>
      </c>
      <c r="D118" s="15" t="s">
        <v>96</v>
      </c>
      <c r="E118" s="15">
        <f t="shared" ref="E118:E119" si="2">B118*B$116</f>
        <v>18.40625</v>
      </c>
    </row>
    <row r="119" spans="1:14" x14ac:dyDescent="0.25">
      <c r="A119" t="s">
        <v>567</v>
      </c>
      <c r="B119">
        <v>0.01</v>
      </c>
      <c r="D119" s="15" t="s">
        <v>454</v>
      </c>
      <c r="E119" s="15">
        <f t="shared" si="2"/>
        <v>7.3624999999999998</v>
      </c>
    </row>
    <row r="125" spans="1:14" x14ac:dyDescent="0.25">
      <c r="A125" s="5" t="s">
        <v>396</v>
      </c>
      <c r="B125" s="5"/>
      <c r="C125" s="5"/>
      <c r="D125" s="5"/>
      <c r="E125" s="5"/>
      <c r="F125" s="5"/>
      <c r="G125" s="5"/>
      <c r="H125" s="5"/>
      <c r="I125" s="5"/>
      <c r="J125" s="5"/>
      <c r="K125" s="5"/>
      <c r="L125" s="5"/>
      <c r="M125" s="5"/>
      <c r="N125" s="5"/>
    </row>
    <row r="126" spans="1:14" x14ac:dyDescent="0.25">
      <c r="A126" s="29" t="s">
        <v>568</v>
      </c>
      <c r="B126" s="5"/>
      <c r="C126" s="5"/>
      <c r="D126" s="5"/>
      <c r="E126" s="5"/>
      <c r="F126" s="5"/>
      <c r="G126" s="5"/>
      <c r="H126" s="5"/>
      <c r="I126" s="5"/>
      <c r="J126" s="5"/>
      <c r="K126" s="5"/>
      <c r="L126" s="5"/>
      <c r="M126" s="5"/>
      <c r="N126" s="5"/>
    </row>
    <row r="127" spans="1:14" x14ac:dyDescent="0.25">
      <c r="A127" s="18" t="s">
        <v>569</v>
      </c>
    </row>
    <row r="128" spans="1:14" x14ac:dyDescent="0.25">
      <c r="A128" t="s">
        <v>570</v>
      </c>
    </row>
    <row r="130" spans="1:14" x14ac:dyDescent="0.25">
      <c r="A130" t="s">
        <v>563</v>
      </c>
      <c r="B130" s="15" t="s">
        <v>571</v>
      </c>
    </row>
    <row r="132" spans="1:14" x14ac:dyDescent="0.25">
      <c r="B132" t="s">
        <v>537</v>
      </c>
    </row>
    <row r="133" spans="1:14" x14ac:dyDescent="0.25">
      <c r="A133" t="s">
        <v>105</v>
      </c>
      <c r="B133">
        <v>150</v>
      </c>
    </row>
    <row r="134" spans="1:14" x14ac:dyDescent="0.25">
      <c r="A134" t="s">
        <v>96</v>
      </c>
      <c r="B134">
        <v>14</v>
      </c>
    </row>
    <row r="137" spans="1:14" x14ac:dyDescent="0.25">
      <c r="A137" s="5" t="s">
        <v>399</v>
      </c>
      <c r="B137" s="5"/>
      <c r="C137" s="5"/>
      <c r="D137" s="5"/>
      <c r="E137" s="5"/>
      <c r="F137" s="5"/>
      <c r="G137" s="5"/>
      <c r="H137" s="5"/>
      <c r="I137" s="5"/>
      <c r="J137" s="5"/>
      <c r="K137" s="5"/>
      <c r="L137" s="5"/>
      <c r="M137" s="5"/>
      <c r="N137" s="5"/>
    </row>
    <row r="138" spans="1:14" x14ac:dyDescent="0.25">
      <c r="A138" s="29" t="s">
        <v>400</v>
      </c>
      <c r="B138" s="5"/>
      <c r="C138" s="5"/>
      <c r="D138" s="5"/>
      <c r="E138" s="5"/>
      <c r="F138" s="5"/>
      <c r="G138" s="5"/>
      <c r="H138" s="5"/>
      <c r="I138" s="5"/>
      <c r="J138" s="5"/>
      <c r="K138" s="5"/>
      <c r="L138" s="5"/>
      <c r="M138" s="5"/>
      <c r="N138" s="5"/>
    </row>
    <row r="139" spans="1:14" x14ac:dyDescent="0.25">
      <c r="A139" t="s">
        <v>212</v>
      </c>
    </row>
    <row r="141" spans="1:14" x14ac:dyDescent="0.25">
      <c r="A141" t="s">
        <v>563</v>
      </c>
      <c r="B141" s="15" t="s">
        <v>571</v>
      </c>
    </row>
    <row r="143" spans="1:14" x14ac:dyDescent="0.25">
      <c r="B143" t="s">
        <v>537</v>
      </c>
    </row>
    <row r="144" spans="1:14" x14ac:dyDescent="0.25">
      <c r="A144" t="s">
        <v>105</v>
      </c>
      <c r="B144">
        <v>198</v>
      </c>
    </row>
    <row r="145" spans="1:14" x14ac:dyDescent="0.25">
      <c r="A145" t="s">
        <v>96</v>
      </c>
      <c r="B145">
        <v>27.7</v>
      </c>
    </row>
    <row r="148" spans="1:14" x14ac:dyDescent="0.25">
      <c r="A148" s="5" t="s">
        <v>572</v>
      </c>
      <c r="B148" s="5"/>
      <c r="C148" s="5"/>
      <c r="D148" s="5"/>
      <c r="E148" s="5"/>
      <c r="F148" s="5"/>
      <c r="G148" s="5"/>
      <c r="H148" s="5"/>
      <c r="I148" s="5"/>
      <c r="J148" s="5"/>
      <c r="K148" s="5"/>
      <c r="L148" s="5"/>
      <c r="M148" s="5"/>
      <c r="N148" s="5"/>
    </row>
    <row r="149" spans="1:14" x14ac:dyDescent="0.25">
      <c r="A149" s="29" t="s">
        <v>573</v>
      </c>
      <c r="B149" s="5"/>
      <c r="C149" s="5"/>
      <c r="D149" s="5"/>
      <c r="E149" s="5"/>
      <c r="F149" s="5"/>
      <c r="G149" s="5"/>
      <c r="H149" s="5"/>
      <c r="I149" s="5"/>
      <c r="J149" s="5"/>
      <c r="K149" s="5"/>
      <c r="L149" s="5"/>
      <c r="M149" s="5"/>
      <c r="N149" s="5"/>
    </row>
    <row r="150" spans="1:14" x14ac:dyDescent="0.25">
      <c r="A150" s="18" t="s">
        <v>574</v>
      </c>
    </row>
    <row r="151" spans="1:14" x14ac:dyDescent="0.25">
      <c r="A151" t="s">
        <v>575</v>
      </c>
    </row>
    <row r="153" spans="1:14" x14ac:dyDescent="0.25">
      <c r="A153" t="s">
        <v>563</v>
      </c>
      <c r="B153" s="15" t="s">
        <v>571</v>
      </c>
    </row>
    <row r="155" spans="1:14" x14ac:dyDescent="0.25">
      <c r="B155" t="s">
        <v>537</v>
      </c>
    </row>
    <row r="156" spans="1:14" x14ac:dyDescent="0.25">
      <c r="A156" t="s">
        <v>105</v>
      </c>
      <c r="B156">
        <f>650*0.27</f>
        <v>175.5</v>
      </c>
    </row>
    <row r="157" spans="1:14" x14ac:dyDescent="0.25">
      <c r="A157" t="s">
        <v>107</v>
      </c>
      <c r="B157">
        <f>650*0.02</f>
        <v>13</v>
      </c>
    </row>
    <row r="158" spans="1:14" x14ac:dyDescent="0.25">
      <c r="A158" t="s">
        <v>96</v>
      </c>
      <c r="B158">
        <f>650*0.03</f>
        <v>19.5</v>
      </c>
    </row>
    <row r="164" spans="1:14" x14ac:dyDescent="0.25">
      <c r="A164" s="6" t="s">
        <v>577</v>
      </c>
      <c r="B164" s="6"/>
      <c r="C164" s="6"/>
      <c r="D164" s="6"/>
      <c r="E164" s="6"/>
      <c r="F164" s="6"/>
      <c r="G164" s="6"/>
      <c r="H164" s="6"/>
      <c r="I164" s="6"/>
      <c r="J164" s="6"/>
      <c r="K164" s="6"/>
      <c r="L164" s="6"/>
      <c r="M164" s="6"/>
      <c r="N164" s="6"/>
    </row>
    <row r="165" spans="1:14" x14ac:dyDescent="0.25">
      <c r="A165" s="30" t="s">
        <v>576</v>
      </c>
      <c r="B165" s="6"/>
      <c r="C165" s="6"/>
      <c r="D165" s="6"/>
      <c r="E165" s="6"/>
      <c r="F165" s="6"/>
      <c r="G165" s="6"/>
      <c r="H165" s="6"/>
      <c r="I165" s="6"/>
      <c r="J165" s="6"/>
      <c r="K165" s="6"/>
      <c r="L165" s="6"/>
      <c r="M165" s="6"/>
      <c r="N165" s="6"/>
    </row>
    <row r="166" spans="1:14" x14ac:dyDescent="0.25">
      <c r="A166" s="18" t="s">
        <v>578</v>
      </c>
    </row>
    <row r="167" spans="1:14" x14ac:dyDescent="0.25">
      <c r="A167" t="s">
        <v>579</v>
      </c>
    </row>
    <row r="169" spans="1:14" x14ac:dyDescent="0.25">
      <c r="A169" t="s">
        <v>563</v>
      </c>
      <c r="B169" s="15" t="s">
        <v>571</v>
      </c>
    </row>
    <row r="171" spans="1:14" x14ac:dyDescent="0.25">
      <c r="B171" t="s">
        <v>537</v>
      </c>
    </row>
    <row r="172" spans="1:14" x14ac:dyDescent="0.25">
      <c r="A172" t="s">
        <v>105</v>
      </c>
      <c r="B172">
        <f>650*0.31</f>
        <v>201.5</v>
      </c>
    </row>
    <row r="173" spans="1:14" x14ac:dyDescent="0.25">
      <c r="A173" t="s">
        <v>96</v>
      </c>
      <c r="B173">
        <f>650*0.03</f>
        <v>19.5</v>
      </c>
    </row>
    <row r="178" spans="1:14" x14ac:dyDescent="0.25">
      <c r="A178" t="s">
        <v>580</v>
      </c>
    </row>
    <row r="181" spans="1:14" x14ac:dyDescent="0.25">
      <c r="A181" s="5" t="s">
        <v>582</v>
      </c>
      <c r="B181" s="5"/>
      <c r="C181" s="5"/>
      <c r="D181" s="5"/>
      <c r="E181" s="5"/>
      <c r="F181" s="5"/>
      <c r="G181" s="5"/>
      <c r="H181" s="5"/>
      <c r="I181" s="5"/>
      <c r="J181" s="5"/>
      <c r="K181" s="5"/>
      <c r="L181" s="5"/>
      <c r="M181" s="5"/>
      <c r="N181" s="5"/>
    </row>
    <row r="182" spans="1:14" x14ac:dyDescent="0.25">
      <c r="A182" s="29" t="s">
        <v>581</v>
      </c>
      <c r="B182" s="5"/>
      <c r="C182" s="5"/>
      <c r="D182" s="5"/>
      <c r="E182" s="5"/>
      <c r="F182" s="5"/>
      <c r="G182" s="5"/>
      <c r="H182" s="5"/>
      <c r="I182" s="5"/>
      <c r="J182" s="5"/>
      <c r="K182" s="5"/>
      <c r="L182" s="5"/>
      <c r="M182" s="5"/>
      <c r="N182" s="5"/>
    </row>
    <row r="183" spans="1:14" x14ac:dyDescent="0.25">
      <c r="A183" s="18" t="s">
        <v>583</v>
      </c>
    </row>
    <row r="184" spans="1:14" x14ac:dyDescent="0.25">
      <c r="A184" t="s">
        <v>575</v>
      </c>
    </row>
    <row r="186" spans="1:14" x14ac:dyDescent="0.25">
      <c r="A186" t="s">
        <v>563</v>
      </c>
      <c r="B186" s="15" t="s">
        <v>571</v>
      </c>
      <c r="C186" t="s">
        <v>584</v>
      </c>
    </row>
    <row r="188" spans="1:14" x14ac:dyDescent="0.25">
      <c r="B188" t="s">
        <v>537</v>
      </c>
    </row>
    <row r="189" spans="1:14" x14ac:dyDescent="0.25">
      <c r="A189" t="s">
        <v>105</v>
      </c>
      <c r="B189">
        <v>198</v>
      </c>
    </row>
    <row r="190" spans="1:14" x14ac:dyDescent="0.25">
      <c r="A190" t="s">
        <v>96</v>
      </c>
      <c r="B190">
        <v>27</v>
      </c>
    </row>
    <row r="192" spans="1:14" x14ac:dyDescent="0.25">
      <c r="A192" s="6" t="s">
        <v>586</v>
      </c>
      <c r="B192" s="6"/>
      <c r="C192" s="6"/>
      <c r="D192" s="6"/>
      <c r="E192" s="6"/>
      <c r="F192" s="6"/>
      <c r="G192" s="6"/>
      <c r="H192" s="6"/>
      <c r="I192" s="6"/>
      <c r="J192" s="6"/>
      <c r="K192" s="6"/>
      <c r="L192" s="6"/>
      <c r="M192" s="6"/>
      <c r="N192" s="6"/>
    </row>
    <row r="193" spans="1:14" x14ac:dyDescent="0.25">
      <c r="A193" s="30" t="s">
        <v>585</v>
      </c>
      <c r="B193" s="6"/>
      <c r="C193" s="6"/>
      <c r="D193" s="6"/>
      <c r="E193" s="6"/>
      <c r="F193" s="6"/>
      <c r="G193" s="6"/>
      <c r="H193" s="6"/>
      <c r="I193" s="6"/>
      <c r="J193" s="6"/>
      <c r="K193" s="6"/>
      <c r="L193" s="6"/>
      <c r="M193" s="6"/>
      <c r="N193" s="6"/>
    </row>
    <row r="194" spans="1:14" x14ac:dyDescent="0.25">
      <c r="A194" s="18" t="s">
        <v>587</v>
      </c>
    </row>
    <row r="196" spans="1:14" x14ac:dyDescent="0.25">
      <c r="A196" t="s">
        <v>588</v>
      </c>
    </row>
    <row r="199" spans="1:14" x14ac:dyDescent="0.25">
      <c r="A199" s="6" t="s">
        <v>590</v>
      </c>
      <c r="B199" s="6"/>
      <c r="C199" s="6"/>
      <c r="D199" s="6"/>
      <c r="E199" s="6"/>
      <c r="F199" s="6"/>
      <c r="G199" s="6"/>
      <c r="H199" s="6"/>
      <c r="I199" s="6"/>
      <c r="J199" s="6"/>
      <c r="K199" s="6"/>
      <c r="L199" s="6"/>
      <c r="M199" s="6"/>
      <c r="N199" s="6"/>
    </row>
    <row r="200" spans="1:14" x14ac:dyDescent="0.25">
      <c r="A200" s="30" t="s">
        <v>589</v>
      </c>
      <c r="B200" s="6"/>
      <c r="C200" s="6"/>
      <c r="D200" s="6"/>
      <c r="E200" s="6"/>
      <c r="F200" s="6"/>
      <c r="G200" s="6"/>
      <c r="H200" s="6"/>
      <c r="I200" s="6"/>
      <c r="J200" s="6"/>
      <c r="K200" s="6"/>
      <c r="L200" s="6"/>
      <c r="M200" s="6"/>
      <c r="N200" s="6"/>
    </row>
    <row r="201" spans="1:14" x14ac:dyDescent="0.25">
      <c r="A201" s="18" t="s">
        <v>591</v>
      </c>
    </row>
    <row r="202" spans="1:14" x14ac:dyDescent="0.25">
      <c r="A202" t="s">
        <v>592</v>
      </c>
    </row>
    <row r="205" spans="1:14" x14ac:dyDescent="0.25">
      <c r="A205" t="s">
        <v>593</v>
      </c>
    </row>
    <row r="212" spans="1:14" x14ac:dyDescent="0.25">
      <c r="A212" s="5" t="s">
        <v>220</v>
      </c>
      <c r="B212" s="5"/>
      <c r="C212" s="5"/>
      <c r="D212" s="5"/>
      <c r="E212" s="5"/>
      <c r="F212" s="5"/>
      <c r="G212" s="5"/>
      <c r="H212" s="5"/>
      <c r="I212" s="5"/>
      <c r="J212" s="5"/>
      <c r="K212" s="5"/>
      <c r="L212" s="5"/>
      <c r="M212" s="5"/>
      <c r="N212" s="5"/>
    </row>
    <row r="213" spans="1:14" x14ac:dyDescent="0.25">
      <c r="A213" s="29" t="s">
        <v>221</v>
      </c>
      <c r="B213" s="5"/>
      <c r="C213" s="5"/>
      <c r="D213" s="5"/>
      <c r="E213" s="5"/>
      <c r="F213" s="5"/>
      <c r="G213" s="5"/>
      <c r="H213" s="5"/>
      <c r="I213" s="5"/>
      <c r="J213" s="5"/>
      <c r="K213" s="5"/>
      <c r="L213" s="5"/>
      <c r="M213" s="5"/>
      <c r="N213" s="5"/>
    </row>
    <row r="214" spans="1:14" x14ac:dyDescent="0.25">
      <c r="A214" s="18" t="s">
        <v>223</v>
      </c>
    </row>
    <row r="215" spans="1:14" x14ac:dyDescent="0.25">
      <c r="A215" t="s">
        <v>594</v>
      </c>
    </row>
    <row r="218" spans="1:14" x14ac:dyDescent="0.25">
      <c r="A218" t="s">
        <v>563</v>
      </c>
      <c r="B218" s="15" t="s">
        <v>595</v>
      </c>
    </row>
    <row r="220" spans="1:14" x14ac:dyDescent="0.25">
      <c r="B220" t="s">
        <v>537</v>
      </c>
    </row>
    <row r="221" spans="1:14" x14ac:dyDescent="0.25">
      <c r="A221" t="s">
        <v>105</v>
      </c>
      <c r="B221">
        <f>AVERAGE(600,400)*0.31</f>
        <v>155</v>
      </c>
    </row>
    <row r="222" spans="1:14" x14ac:dyDescent="0.25">
      <c r="A222" t="s">
        <v>96</v>
      </c>
      <c r="B222">
        <f>AVERAGE(600,400)*0.055</f>
        <v>27.5</v>
      </c>
    </row>
    <row r="225" spans="1:14" x14ac:dyDescent="0.25">
      <c r="A225" s="5" t="s">
        <v>596</v>
      </c>
      <c r="B225" s="5"/>
      <c r="C225" s="5"/>
      <c r="D225" s="5"/>
      <c r="E225" s="5"/>
      <c r="F225" s="5"/>
      <c r="G225" s="5"/>
      <c r="H225" s="5"/>
      <c r="I225" s="5"/>
      <c r="J225" s="5"/>
      <c r="K225" s="5"/>
      <c r="L225" s="5"/>
      <c r="M225" s="5"/>
      <c r="N225" s="5"/>
    </row>
    <row r="226" spans="1:14" x14ac:dyDescent="0.25">
      <c r="A226" s="29" t="s">
        <v>597</v>
      </c>
      <c r="B226" s="5"/>
      <c r="C226" s="5"/>
      <c r="D226" s="5"/>
      <c r="E226" s="5"/>
      <c r="F226" s="5"/>
      <c r="G226" s="5"/>
      <c r="H226" s="5"/>
      <c r="I226" s="5"/>
      <c r="J226" s="5"/>
      <c r="K226" s="5"/>
      <c r="L226" s="5"/>
      <c r="M226" s="5"/>
      <c r="N226" s="5"/>
    </row>
    <row r="227" spans="1:14" x14ac:dyDescent="0.25">
      <c r="A227" s="18" t="s">
        <v>598</v>
      </c>
    </row>
    <row r="230" spans="1:14" x14ac:dyDescent="0.25">
      <c r="A230" t="s">
        <v>563</v>
      </c>
      <c r="B230" s="15" t="s">
        <v>595</v>
      </c>
    </row>
    <row r="232" spans="1:14" x14ac:dyDescent="0.25">
      <c r="A232" s="15"/>
      <c r="B232" s="15" t="s">
        <v>537</v>
      </c>
    </row>
    <row r="233" spans="1:14" x14ac:dyDescent="0.25">
      <c r="A233" s="15" t="s">
        <v>105</v>
      </c>
      <c r="B233" s="15">
        <v>116</v>
      </c>
    </row>
    <row r="234" spans="1:14" x14ac:dyDescent="0.25">
      <c r="A234" s="15" t="s">
        <v>107</v>
      </c>
      <c r="B234" s="15">
        <v>12</v>
      </c>
    </row>
    <row r="235" spans="1:14" x14ac:dyDescent="0.25">
      <c r="A235" s="15" t="s">
        <v>96</v>
      </c>
      <c r="B235" s="15">
        <v>12</v>
      </c>
    </row>
    <row r="236" spans="1:14" x14ac:dyDescent="0.25">
      <c r="A236" s="15" t="s">
        <v>117</v>
      </c>
      <c r="B236" s="15">
        <v>6</v>
      </c>
    </row>
    <row r="237" spans="1:14" x14ac:dyDescent="0.25">
      <c r="A237" s="15"/>
      <c r="B237" s="15"/>
    </row>
    <row r="241" spans="1:14" x14ac:dyDescent="0.25">
      <c r="A241" s="5" t="s">
        <v>403</v>
      </c>
      <c r="B241" s="5"/>
      <c r="C241" s="5"/>
      <c r="D241" s="5"/>
      <c r="E241" s="5"/>
      <c r="F241" s="5"/>
      <c r="G241" s="5"/>
      <c r="H241" s="5"/>
      <c r="I241" s="5"/>
      <c r="J241" s="5"/>
      <c r="K241" s="5"/>
      <c r="L241" s="5"/>
      <c r="M241" s="5"/>
      <c r="N241" s="5"/>
    </row>
    <row r="242" spans="1:14" x14ac:dyDescent="0.25">
      <c r="A242" s="29" t="s">
        <v>402</v>
      </c>
      <c r="B242" s="5"/>
      <c r="C242" s="5"/>
      <c r="D242" s="5"/>
      <c r="E242" s="5"/>
      <c r="F242" s="5"/>
      <c r="G242" s="5"/>
      <c r="H242" s="5"/>
      <c r="I242" s="5"/>
      <c r="J242" s="5"/>
      <c r="K242" s="5"/>
      <c r="L242" s="5"/>
      <c r="M242" s="5"/>
      <c r="N242" s="5"/>
    </row>
    <row r="243" spans="1:14" x14ac:dyDescent="0.25">
      <c r="A243" s="18" t="s">
        <v>412</v>
      </c>
    </row>
    <row r="244" spans="1:14" x14ac:dyDescent="0.25">
      <c r="A244" t="s">
        <v>599</v>
      </c>
    </row>
    <row r="246" spans="1:14" x14ac:dyDescent="0.25">
      <c r="A246" t="s">
        <v>563</v>
      </c>
      <c r="B246" s="15" t="s">
        <v>595</v>
      </c>
    </row>
    <row r="248" spans="1:14" x14ac:dyDescent="0.25">
      <c r="B248" t="s">
        <v>537</v>
      </c>
    </row>
    <row r="249" spans="1:14" x14ac:dyDescent="0.25">
      <c r="A249" t="s">
        <v>105</v>
      </c>
      <c r="B249">
        <f>700*0.29</f>
        <v>203</v>
      </c>
    </row>
    <row r="250" spans="1:14" x14ac:dyDescent="0.25">
      <c r="A250" t="s">
        <v>96</v>
      </c>
      <c r="B250">
        <f>700*0.06</f>
        <v>42</v>
      </c>
    </row>
    <row r="253" spans="1:14" x14ac:dyDescent="0.25">
      <c r="A253" s="6" t="s">
        <v>600</v>
      </c>
      <c r="B253" s="6"/>
      <c r="C253" s="6"/>
      <c r="D253" s="6"/>
      <c r="E253" s="6"/>
      <c r="F253" s="6"/>
      <c r="G253" s="6"/>
      <c r="H253" s="6"/>
      <c r="I253" s="6"/>
      <c r="J253" s="6"/>
      <c r="K253" s="6"/>
      <c r="L253" s="6"/>
      <c r="M253" s="6"/>
      <c r="N253" s="6"/>
    </row>
    <row r="254" spans="1:14" x14ac:dyDescent="0.25">
      <c r="A254" s="30" t="s">
        <v>601</v>
      </c>
      <c r="B254" s="6"/>
      <c r="C254" s="6"/>
      <c r="D254" s="6"/>
      <c r="E254" s="6"/>
      <c r="F254" s="6"/>
      <c r="G254" s="6"/>
      <c r="H254" s="6"/>
      <c r="I254" s="6"/>
      <c r="J254" s="6"/>
      <c r="K254" s="6"/>
      <c r="L254" s="6"/>
      <c r="M254" s="6"/>
      <c r="N254" s="6"/>
    </row>
    <row r="255" spans="1:14" x14ac:dyDescent="0.25">
      <c r="A255" s="18" t="s">
        <v>603</v>
      </c>
    </row>
    <row r="257" spans="1:14" x14ac:dyDescent="0.25">
      <c r="A257" t="s">
        <v>602</v>
      </c>
    </row>
    <row r="260" spans="1:14" x14ac:dyDescent="0.25">
      <c r="A260" s="6" t="s">
        <v>605</v>
      </c>
      <c r="B260" s="6"/>
      <c r="C260" s="6"/>
      <c r="D260" s="6"/>
      <c r="E260" s="6"/>
      <c r="F260" s="6"/>
      <c r="G260" s="6"/>
      <c r="H260" s="6"/>
      <c r="I260" s="6"/>
      <c r="J260" s="6"/>
      <c r="K260" s="6"/>
      <c r="L260" s="6"/>
      <c r="M260" s="6"/>
      <c r="N260" s="6"/>
    </row>
    <row r="261" spans="1:14" x14ac:dyDescent="0.25">
      <c r="A261" s="30" t="s">
        <v>604</v>
      </c>
      <c r="B261" s="6"/>
      <c r="C261" s="6"/>
      <c r="D261" s="6"/>
      <c r="E261" s="6"/>
      <c r="F261" s="6"/>
      <c r="G261" s="6"/>
      <c r="H261" s="6"/>
      <c r="I261" s="6"/>
      <c r="J261" s="6"/>
      <c r="K261" s="6"/>
      <c r="L261" s="6"/>
      <c r="M261" s="6"/>
      <c r="N261" s="6"/>
    </row>
    <row r="262" spans="1:14" x14ac:dyDescent="0.25">
      <c r="A262" s="18" t="s">
        <v>606</v>
      </c>
    </row>
    <row r="263" spans="1:14" x14ac:dyDescent="0.25">
      <c r="A263" t="s">
        <v>607</v>
      </c>
    </row>
    <row r="265" spans="1:14" x14ac:dyDescent="0.25">
      <c r="A265" t="s">
        <v>608</v>
      </c>
    </row>
    <row r="267" spans="1:14" x14ac:dyDescent="0.25">
      <c r="A267" s="5" t="s">
        <v>610</v>
      </c>
      <c r="B267" s="5"/>
      <c r="C267" s="5"/>
      <c r="D267" s="5"/>
      <c r="E267" s="5"/>
      <c r="F267" s="5"/>
      <c r="G267" s="5"/>
      <c r="H267" s="5"/>
      <c r="I267" s="5"/>
      <c r="J267" s="5"/>
      <c r="K267" s="5"/>
      <c r="L267" s="5"/>
      <c r="M267" s="5"/>
      <c r="N267" s="5"/>
    </row>
    <row r="268" spans="1:14" x14ac:dyDescent="0.25">
      <c r="A268" s="29" t="s">
        <v>609</v>
      </c>
      <c r="B268" s="5"/>
      <c r="C268" s="5"/>
      <c r="D268" s="5"/>
      <c r="E268" s="5"/>
      <c r="F268" s="5"/>
      <c r="G268" s="5"/>
      <c r="H268" s="5"/>
      <c r="I268" s="5"/>
      <c r="J268" s="5"/>
      <c r="K268" s="5"/>
      <c r="L268" s="5"/>
      <c r="M268" s="5"/>
      <c r="N268" s="5"/>
    </row>
    <row r="269" spans="1:14" x14ac:dyDescent="0.25">
      <c r="A269" s="18" t="s">
        <v>611</v>
      </c>
    </row>
    <row r="270" spans="1:14" x14ac:dyDescent="0.25">
      <c r="A270" t="s">
        <v>212</v>
      </c>
    </row>
    <row r="272" spans="1:14" x14ac:dyDescent="0.25">
      <c r="A272" t="s">
        <v>563</v>
      </c>
      <c r="B272" s="15" t="s">
        <v>595</v>
      </c>
    </row>
    <row r="274" spans="1:14" x14ac:dyDescent="0.25">
      <c r="B274" t="s">
        <v>537</v>
      </c>
    </row>
    <row r="275" spans="1:14" x14ac:dyDescent="0.25">
      <c r="A275" t="s">
        <v>105</v>
      </c>
      <c r="B275">
        <f>AVERAGE(186,124)</f>
        <v>155</v>
      </c>
    </row>
    <row r="276" spans="1:14" x14ac:dyDescent="0.25">
      <c r="A276" t="s">
        <v>96</v>
      </c>
      <c r="B276">
        <f>AVERAGE(33,22)</f>
        <v>27.5</v>
      </c>
    </row>
    <row r="278" spans="1:14" x14ac:dyDescent="0.25">
      <c r="A278" s="5" t="s">
        <v>613</v>
      </c>
      <c r="B278" s="5"/>
      <c r="C278" s="5"/>
      <c r="D278" s="5"/>
      <c r="E278" s="5"/>
      <c r="F278" s="5"/>
      <c r="G278" s="5"/>
      <c r="H278" s="5"/>
      <c r="I278" s="5"/>
      <c r="J278" s="5"/>
      <c r="K278" s="5"/>
      <c r="L278" s="5"/>
      <c r="M278" s="5"/>
      <c r="N278" s="5"/>
    </row>
    <row r="279" spans="1:14" x14ac:dyDescent="0.25">
      <c r="A279" s="29" t="s">
        <v>612</v>
      </c>
      <c r="B279" s="5"/>
      <c r="C279" s="5"/>
      <c r="D279" s="5"/>
      <c r="E279" s="5"/>
      <c r="F279" s="5"/>
      <c r="G279" s="5"/>
      <c r="H279" s="5"/>
      <c r="I279" s="5"/>
      <c r="J279" s="5"/>
      <c r="K279" s="5"/>
      <c r="L279" s="5"/>
      <c r="M279" s="5"/>
      <c r="N279" s="5"/>
    </row>
    <row r="280" spans="1:14" x14ac:dyDescent="0.25">
      <c r="A280" s="18" t="s">
        <v>614</v>
      </c>
    </row>
    <row r="281" spans="1:14" x14ac:dyDescent="0.25">
      <c r="A281" t="s">
        <v>615</v>
      </c>
    </row>
    <row r="283" spans="1:14" x14ac:dyDescent="0.25">
      <c r="A283" t="s">
        <v>563</v>
      </c>
      <c r="B283" s="15" t="s">
        <v>595</v>
      </c>
    </row>
    <row r="285" spans="1:14" x14ac:dyDescent="0.25">
      <c r="B285" t="s">
        <v>537</v>
      </c>
    </row>
    <row r="286" spans="1:14" x14ac:dyDescent="0.25">
      <c r="A286" t="s">
        <v>105</v>
      </c>
      <c r="B286">
        <v>198.83</v>
      </c>
    </row>
    <row r="287" spans="1:14" x14ac:dyDescent="0.25">
      <c r="A287" t="s">
        <v>96</v>
      </c>
      <c r="B287">
        <v>18.149999999999999</v>
      </c>
    </row>
    <row r="288" spans="1:14" x14ac:dyDescent="0.25">
      <c r="A288" t="s">
        <v>454</v>
      </c>
      <c r="B288">
        <v>6.8</v>
      </c>
    </row>
    <row r="289" spans="1:14" x14ac:dyDescent="0.25">
      <c r="A289" t="s">
        <v>117</v>
      </c>
      <c r="B289">
        <v>0.54</v>
      </c>
    </row>
    <row r="294" spans="1:14" x14ac:dyDescent="0.25">
      <c r="A294" s="5" t="s">
        <v>617</v>
      </c>
      <c r="B294" s="5"/>
      <c r="C294" s="5"/>
      <c r="D294" s="5"/>
      <c r="E294" s="5"/>
      <c r="F294" s="5"/>
      <c r="G294" s="5"/>
      <c r="H294" s="5"/>
      <c r="I294" s="5"/>
      <c r="J294" s="5"/>
      <c r="K294" s="5"/>
      <c r="L294" s="5"/>
      <c r="M294" s="5"/>
      <c r="N294" s="5"/>
    </row>
    <row r="295" spans="1:14" x14ac:dyDescent="0.25">
      <c r="A295" s="29" t="s">
        <v>616</v>
      </c>
      <c r="B295" s="5"/>
      <c r="C295" s="5"/>
      <c r="D295" s="5"/>
      <c r="E295" s="5"/>
      <c r="F295" s="5"/>
      <c r="G295" s="5"/>
      <c r="H295" s="5"/>
      <c r="I295" s="5"/>
      <c r="J295" s="5"/>
      <c r="K295" s="5"/>
      <c r="L295" s="5"/>
      <c r="M295" s="5"/>
      <c r="N295" s="5"/>
    </row>
    <row r="296" spans="1:14" x14ac:dyDescent="0.25">
      <c r="A296" s="18" t="s">
        <v>618</v>
      </c>
    </row>
    <row r="297" spans="1:14" x14ac:dyDescent="0.25">
      <c r="A297" t="s">
        <v>619</v>
      </c>
    </row>
    <row r="299" spans="1:14" x14ac:dyDescent="0.25">
      <c r="A299" t="s">
        <v>563</v>
      </c>
      <c r="B299" s="15" t="s">
        <v>571</v>
      </c>
      <c r="C299" s="15" t="s">
        <v>620</v>
      </c>
    </row>
    <row r="301" spans="1:14" x14ac:dyDescent="0.25">
      <c r="B301" t="s">
        <v>537</v>
      </c>
      <c r="C301" t="s">
        <v>537</v>
      </c>
    </row>
    <row r="302" spans="1:14" x14ac:dyDescent="0.25">
      <c r="A302" t="s">
        <v>105</v>
      </c>
      <c r="B302">
        <f>675*0.225</f>
        <v>151.875</v>
      </c>
      <c r="C302">
        <f>120*0.225</f>
        <v>27</v>
      </c>
    </row>
    <row r="303" spans="1:14" x14ac:dyDescent="0.25">
      <c r="A303" t="s">
        <v>96</v>
      </c>
      <c r="B303">
        <f>675*0.045</f>
        <v>30.375</v>
      </c>
      <c r="C303">
        <f>120*0.045</f>
        <v>5.3999999999999995</v>
      </c>
    </row>
    <row r="304" spans="1:14" x14ac:dyDescent="0.25">
      <c r="A304" t="s">
        <v>107</v>
      </c>
      <c r="B304">
        <f>675*0.075</f>
        <v>50.625</v>
      </c>
      <c r="C304">
        <f>120*0.075</f>
        <v>9</v>
      </c>
    </row>
    <row r="306" spans="1:14" x14ac:dyDescent="0.25">
      <c r="A306" s="70" t="s">
        <v>622</v>
      </c>
      <c r="B306" s="71"/>
      <c r="C306" s="71"/>
      <c r="D306" s="71"/>
      <c r="E306" s="71"/>
      <c r="F306" s="71"/>
      <c r="G306" s="71"/>
      <c r="H306" s="71"/>
      <c r="I306" s="71"/>
      <c r="J306" s="71"/>
      <c r="K306" s="71"/>
      <c r="L306" s="5"/>
      <c r="M306" s="5"/>
      <c r="N306" s="5"/>
    </row>
    <row r="307" spans="1:14" x14ac:dyDescent="0.25">
      <c r="A307" s="70" t="s">
        <v>621</v>
      </c>
      <c r="B307" s="71"/>
      <c r="C307" s="71"/>
      <c r="D307" s="71"/>
      <c r="E307" s="71"/>
      <c r="F307" s="71"/>
      <c r="G307" s="71"/>
      <c r="H307" s="71"/>
      <c r="I307" s="71"/>
      <c r="J307" s="71"/>
      <c r="K307" s="71"/>
      <c r="L307" s="5"/>
      <c r="M307" s="5"/>
      <c r="N307" s="5"/>
    </row>
    <row r="308" spans="1:14" x14ac:dyDescent="0.25">
      <c r="A308" s="12" t="s">
        <v>623</v>
      </c>
      <c r="B308" s="2"/>
      <c r="C308" s="2"/>
      <c r="D308" s="2"/>
      <c r="E308" s="2"/>
      <c r="F308" s="2"/>
      <c r="G308" s="2"/>
      <c r="H308" s="2"/>
      <c r="I308" s="2"/>
      <c r="J308" s="2"/>
      <c r="K308" s="2"/>
    </row>
    <row r="309" spans="1:14" x14ac:dyDescent="0.25">
      <c r="A309" t="s">
        <v>624</v>
      </c>
    </row>
    <row r="311" spans="1:14" x14ac:dyDescent="0.25">
      <c r="A311" t="s">
        <v>563</v>
      </c>
      <c r="B311" s="15" t="s">
        <v>595</v>
      </c>
    </row>
    <row r="313" spans="1:14" x14ac:dyDescent="0.25">
      <c r="B313" t="s">
        <v>537</v>
      </c>
    </row>
    <row r="314" spans="1:14" x14ac:dyDescent="0.25">
      <c r="A314" t="s">
        <v>105</v>
      </c>
      <c r="B314">
        <v>170</v>
      </c>
    </row>
    <row r="315" spans="1:14" x14ac:dyDescent="0.25">
      <c r="A315" t="s">
        <v>96</v>
      </c>
      <c r="B315">
        <v>24</v>
      </c>
    </row>
    <row r="318" spans="1:14" x14ac:dyDescent="0.25">
      <c r="A318" s="70" t="s">
        <v>626</v>
      </c>
      <c r="B318" s="71"/>
      <c r="C318" s="71"/>
      <c r="D318" s="71"/>
      <c r="E318" s="71"/>
      <c r="F318" s="71"/>
      <c r="G318" s="71"/>
      <c r="H318" s="71"/>
      <c r="I318" s="71"/>
      <c r="J318" s="71"/>
      <c r="K318" s="71"/>
      <c r="L318" s="5"/>
      <c r="M318" s="5"/>
      <c r="N318" s="5"/>
    </row>
    <row r="319" spans="1:14" x14ac:dyDescent="0.25">
      <c r="A319" s="70" t="s">
        <v>625</v>
      </c>
      <c r="B319" s="71"/>
      <c r="C319" s="71"/>
      <c r="D319" s="71"/>
      <c r="E319" s="71"/>
      <c r="F319" s="71"/>
      <c r="G319" s="71"/>
      <c r="H319" s="71"/>
      <c r="I319" s="71"/>
      <c r="J319" s="71"/>
      <c r="K319" s="71"/>
      <c r="L319" s="5"/>
      <c r="M319" s="5"/>
      <c r="N319" s="5"/>
    </row>
    <row r="320" spans="1:14" x14ac:dyDescent="0.25">
      <c r="A320" s="18" t="s">
        <v>627</v>
      </c>
    </row>
    <row r="321" spans="1:4" x14ac:dyDescent="0.25">
      <c r="A321" t="s">
        <v>628</v>
      </c>
    </row>
    <row r="323" spans="1:4" x14ac:dyDescent="0.25">
      <c r="B323" t="s">
        <v>561</v>
      </c>
      <c r="C323" t="s">
        <v>633</v>
      </c>
      <c r="D323" t="s">
        <v>634</v>
      </c>
    </row>
    <row r="324" spans="1:4" x14ac:dyDescent="0.25">
      <c r="B324" t="s">
        <v>537</v>
      </c>
      <c r="C324" t="s">
        <v>537</v>
      </c>
      <c r="D324" t="s">
        <v>537</v>
      </c>
    </row>
    <row r="325" spans="1:4" x14ac:dyDescent="0.25">
      <c r="A325" s="15" t="s">
        <v>245</v>
      </c>
      <c r="B325" s="15">
        <f>AVERAGE(0.8,7)</f>
        <v>3.9</v>
      </c>
      <c r="C325" s="15">
        <v>0.8</v>
      </c>
      <c r="D325" s="15">
        <v>7</v>
      </c>
    </row>
    <row r="326" spans="1:4" x14ac:dyDescent="0.25">
      <c r="A326" t="s">
        <v>629</v>
      </c>
      <c r="B326">
        <f>AVERAGE(789,902)</f>
        <v>845.5</v>
      </c>
    </row>
    <row r="327" spans="1:4" x14ac:dyDescent="0.25">
      <c r="A327" s="15" t="s">
        <v>18</v>
      </c>
      <c r="B327" s="15">
        <f>AVERAGE(2.8,25)</f>
        <v>13.9</v>
      </c>
      <c r="C327" s="15">
        <v>2.8</v>
      </c>
      <c r="D327" s="15">
        <v>25</v>
      </c>
    </row>
    <row r="328" spans="1:4" x14ac:dyDescent="0.25">
      <c r="A328" t="s">
        <v>630</v>
      </c>
      <c r="B328">
        <f>AVERAGE(32.5,80.5)</f>
        <v>56.5</v>
      </c>
    </row>
    <row r="329" spans="1:4" x14ac:dyDescent="0.25">
      <c r="A329" t="s">
        <v>631</v>
      </c>
      <c r="B329">
        <f>AVERAGE(116,136)</f>
        <v>126</v>
      </c>
    </row>
    <row r="330" spans="1:4" x14ac:dyDescent="0.25">
      <c r="A330" s="15" t="s">
        <v>26</v>
      </c>
      <c r="B330" s="15">
        <f>AVERAGE(0,186)</f>
        <v>93</v>
      </c>
      <c r="C330" s="15">
        <v>0</v>
      </c>
      <c r="D330" s="15">
        <v>186</v>
      </c>
    </row>
    <row r="331" spans="1:4" x14ac:dyDescent="0.25">
      <c r="A331" t="s">
        <v>265</v>
      </c>
      <c r="B331">
        <f>AVERAGE(557,663)</f>
        <v>610</v>
      </c>
    </row>
    <row r="332" spans="1:4" x14ac:dyDescent="0.25">
      <c r="A332" s="15" t="s">
        <v>30</v>
      </c>
      <c r="B332" s="15">
        <f>AVERAGE(4,35)</f>
        <v>19.5</v>
      </c>
      <c r="C332" s="15">
        <v>4</v>
      </c>
      <c r="D332" s="15">
        <v>35</v>
      </c>
    </row>
    <row r="333" spans="1:4" x14ac:dyDescent="0.25">
      <c r="A333" s="15" t="s">
        <v>34</v>
      </c>
      <c r="B333" s="15">
        <f>AVERAGE(0.8,7)</f>
        <v>3.9</v>
      </c>
      <c r="C333" s="15">
        <v>0.8</v>
      </c>
      <c r="D333" s="15">
        <v>7</v>
      </c>
    </row>
    <row r="334" spans="1:4" x14ac:dyDescent="0.25">
      <c r="A334" t="s">
        <v>632</v>
      </c>
      <c r="B334">
        <f>AVERAGE(5150,5750)</f>
        <v>5450</v>
      </c>
    </row>
    <row r="340" spans="1:14" x14ac:dyDescent="0.25">
      <c r="A340" s="64" t="s">
        <v>635</v>
      </c>
      <c r="B340" s="63"/>
      <c r="C340" s="63"/>
      <c r="D340" s="63"/>
      <c r="E340" s="63"/>
      <c r="F340" s="63"/>
      <c r="G340" s="63"/>
      <c r="H340" s="63"/>
      <c r="I340" s="63"/>
      <c r="J340" s="63"/>
      <c r="K340" s="63"/>
      <c r="L340" s="6"/>
      <c r="M340" s="6"/>
      <c r="N340" s="6"/>
    </row>
    <row r="341" spans="1:14" x14ac:dyDescent="0.25">
      <c r="A341" s="64" t="s">
        <v>636</v>
      </c>
      <c r="B341" s="63"/>
      <c r="C341" s="63"/>
      <c r="D341" s="63"/>
      <c r="E341" s="63"/>
      <c r="F341" s="63"/>
      <c r="G341" s="63"/>
      <c r="H341" s="63"/>
      <c r="I341" s="63"/>
      <c r="J341" s="63"/>
      <c r="K341" s="63"/>
      <c r="L341" s="6"/>
      <c r="M341" s="6"/>
      <c r="N341" s="6"/>
    </row>
    <row r="342" spans="1:14" x14ac:dyDescent="0.25">
      <c r="A342" s="18" t="s">
        <v>637</v>
      </c>
    </row>
    <row r="344" spans="1:14" x14ac:dyDescent="0.25">
      <c r="A344" t="s">
        <v>638</v>
      </c>
    </row>
    <row r="347" spans="1:14" x14ac:dyDescent="0.25">
      <c r="A347" s="70" t="s">
        <v>640</v>
      </c>
      <c r="B347" s="71"/>
      <c r="C347" s="71"/>
      <c r="D347" s="71"/>
      <c r="E347" s="71"/>
      <c r="F347" s="71"/>
      <c r="G347" s="71"/>
      <c r="H347" s="71"/>
      <c r="I347" s="71"/>
      <c r="J347" s="71"/>
      <c r="K347" s="71"/>
      <c r="L347" s="5"/>
      <c r="M347" s="5"/>
      <c r="N347" s="5"/>
    </row>
    <row r="348" spans="1:14" x14ac:dyDescent="0.25">
      <c r="A348" s="70" t="s">
        <v>639</v>
      </c>
      <c r="B348" s="71"/>
      <c r="C348" s="71"/>
      <c r="D348" s="71"/>
      <c r="E348" s="71"/>
      <c r="F348" s="71"/>
      <c r="G348" s="71"/>
      <c r="H348" s="71"/>
      <c r="I348" s="71"/>
      <c r="J348" s="71"/>
      <c r="K348" s="71"/>
      <c r="L348" s="5"/>
      <c r="M348" s="5"/>
      <c r="N348" s="5"/>
    </row>
    <row r="349" spans="1:14" x14ac:dyDescent="0.25">
      <c r="A349" s="18" t="s">
        <v>641</v>
      </c>
    </row>
    <row r="350" spans="1:14" x14ac:dyDescent="0.25">
      <c r="A350" t="s">
        <v>445</v>
      </c>
    </row>
    <row r="353" spans="1:14" x14ac:dyDescent="0.25">
      <c r="A353" t="s">
        <v>563</v>
      </c>
      <c r="B353" s="15" t="s">
        <v>562</v>
      </c>
    </row>
    <row r="355" spans="1:14" x14ac:dyDescent="0.25">
      <c r="B355" t="s">
        <v>537</v>
      </c>
    </row>
    <row r="356" spans="1:14" x14ac:dyDescent="0.25">
      <c r="A356" s="15" t="s">
        <v>105</v>
      </c>
      <c r="B356" s="15">
        <v>183</v>
      </c>
    </row>
    <row r="357" spans="1:14" x14ac:dyDescent="0.25">
      <c r="A357" s="15" t="s">
        <v>96</v>
      </c>
      <c r="B357" s="15">
        <v>29</v>
      </c>
    </row>
    <row r="358" spans="1:14" x14ac:dyDescent="0.25">
      <c r="A358" s="15" t="s">
        <v>107</v>
      </c>
      <c r="B358" s="15">
        <v>48</v>
      </c>
    </row>
    <row r="359" spans="1:14" x14ac:dyDescent="0.25">
      <c r="A359" s="15" t="s">
        <v>117</v>
      </c>
      <c r="B359" s="15">
        <v>1.3</v>
      </c>
    </row>
    <row r="360" spans="1:14" x14ac:dyDescent="0.25">
      <c r="A360" t="s">
        <v>353</v>
      </c>
      <c r="B360">
        <v>10000</v>
      </c>
    </row>
    <row r="361" spans="1:14" x14ac:dyDescent="0.25">
      <c r="A361" t="s">
        <v>349</v>
      </c>
      <c r="B361">
        <v>239</v>
      </c>
    </row>
    <row r="362" spans="1:14" x14ac:dyDescent="0.25">
      <c r="A362" t="s">
        <v>352</v>
      </c>
      <c r="B362">
        <v>111</v>
      </c>
    </row>
    <row r="363" spans="1:14" x14ac:dyDescent="0.25">
      <c r="A363" t="s">
        <v>356</v>
      </c>
      <c r="B363">
        <v>6720</v>
      </c>
    </row>
    <row r="364" spans="1:14" x14ac:dyDescent="0.25">
      <c r="A364" t="s">
        <v>348</v>
      </c>
      <c r="B364">
        <v>1060</v>
      </c>
    </row>
    <row r="365" spans="1:14" x14ac:dyDescent="0.25">
      <c r="A365" t="s">
        <v>351</v>
      </c>
      <c r="B365">
        <v>132000</v>
      </c>
    </row>
    <row r="368" spans="1:14" x14ac:dyDescent="0.25">
      <c r="A368" s="5" t="s">
        <v>520</v>
      </c>
      <c r="B368" s="5"/>
      <c r="C368" s="5"/>
      <c r="D368" s="5"/>
      <c r="E368" s="5"/>
      <c r="F368" s="5"/>
      <c r="G368" s="5"/>
      <c r="H368" s="5"/>
      <c r="I368" s="5"/>
      <c r="J368" s="5"/>
      <c r="K368" s="5"/>
      <c r="L368" s="5"/>
      <c r="M368" s="5"/>
      <c r="N368" s="5"/>
    </row>
    <row r="369" spans="1:14" x14ac:dyDescent="0.25">
      <c r="A369" s="29" t="s">
        <v>519</v>
      </c>
      <c r="B369" s="5"/>
      <c r="C369" s="5"/>
      <c r="D369" s="5"/>
      <c r="E369" s="5"/>
      <c r="F369" s="5"/>
      <c r="G369" s="5"/>
      <c r="H369" s="5"/>
      <c r="I369" s="5"/>
      <c r="J369" s="5"/>
      <c r="K369" s="5"/>
      <c r="L369" s="5"/>
      <c r="M369" s="5"/>
      <c r="N369" s="5"/>
    </row>
    <row r="370" spans="1:14" x14ac:dyDescent="0.25">
      <c r="A370" s="18" t="s">
        <v>521</v>
      </c>
    </row>
    <row r="373" spans="1:14" x14ac:dyDescent="0.25">
      <c r="A373" t="s">
        <v>563</v>
      </c>
      <c r="B373" t="s">
        <v>644</v>
      </c>
      <c r="C373" t="s">
        <v>645</v>
      </c>
      <c r="D373" t="s">
        <v>646</v>
      </c>
      <c r="E373" t="s">
        <v>647</v>
      </c>
    </row>
    <row r="375" spans="1:14" x14ac:dyDescent="0.25">
      <c r="B375" t="s">
        <v>537</v>
      </c>
      <c r="C375" t="s">
        <v>537</v>
      </c>
      <c r="D375" t="s">
        <v>537</v>
      </c>
      <c r="E375" t="s">
        <v>537</v>
      </c>
    </row>
    <row r="376" spans="1:14" x14ac:dyDescent="0.25">
      <c r="A376" s="24" t="s">
        <v>642</v>
      </c>
      <c r="B376" s="24">
        <v>369000</v>
      </c>
      <c r="C376">
        <v>243000</v>
      </c>
      <c r="D376">
        <v>413000</v>
      </c>
      <c r="E376">
        <v>355000</v>
      </c>
    </row>
    <row r="377" spans="1:14" x14ac:dyDescent="0.25">
      <c r="A377" s="24" t="s">
        <v>235</v>
      </c>
      <c r="B377" s="24">
        <v>132000</v>
      </c>
      <c r="C377">
        <v>119500</v>
      </c>
      <c r="D377">
        <v>107000</v>
      </c>
      <c r="E377">
        <v>113000</v>
      </c>
    </row>
    <row r="378" spans="1:14" x14ac:dyDescent="0.25">
      <c r="A378" s="24" t="s">
        <v>238</v>
      </c>
      <c r="B378" s="24">
        <v>4600</v>
      </c>
      <c r="C378">
        <v>4600</v>
      </c>
      <c r="D378">
        <v>4600</v>
      </c>
      <c r="E378">
        <v>4600</v>
      </c>
    </row>
    <row r="379" spans="1:14" x14ac:dyDescent="0.25">
      <c r="A379" s="24" t="s">
        <v>643</v>
      </c>
      <c r="B379" s="24">
        <v>8100</v>
      </c>
      <c r="C379">
        <v>8100</v>
      </c>
      <c r="D379">
        <v>8400</v>
      </c>
      <c r="E379">
        <v>7700</v>
      </c>
    </row>
    <row r="380" spans="1:14" x14ac:dyDescent="0.25">
      <c r="A380" s="24" t="s">
        <v>236</v>
      </c>
      <c r="B380" s="24">
        <v>700</v>
      </c>
      <c r="C380">
        <v>500</v>
      </c>
      <c r="D380">
        <v>1600</v>
      </c>
      <c r="E380">
        <v>1400</v>
      </c>
    </row>
    <row r="381" spans="1:14" x14ac:dyDescent="0.25">
      <c r="A381" s="15" t="s">
        <v>245</v>
      </c>
      <c r="B381" s="15">
        <v>0</v>
      </c>
      <c r="C381" s="15">
        <v>6</v>
      </c>
      <c r="D381" s="15">
        <v>1</v>
      </c>
      <c r="E381" s="15">
        <v>0</v>
      </c>
      <c r="F381" s="24"/>
    </row>
    <row r="382" spans="1:14" x14ac:dyDescent="0.25">
      <c r="A382" t="s">
        <v>629</v>
      </c>
      <c r="B382" s="24">
        <v>525</v>
      </c>
      <c r="C382">
        <v>525</v>
      </c>
      <c r="D382">
        <v>580</v>
      </c>
      <c r="E382">
        <v>470</v>
      </c>
    </row>
    <row r="383" spans="1:14" x14ac:dyDescent="0.25">
      <c r="A383" t="s">
        <v>0</v>
      </c>
      <c r="B383" s="24">
        <v>5000</v>
      </c>
      <c r="C383">
        <v>3000</v>
      </c>
      <c r="D383">
        <v>950</v>
      </c>
      <c r="E383">
        <v>1400</v>
      </c>
    </row>
    <row r="384" spans="1:14" x14ac:dyDescent="0.25">
      <c r="A384" s="15" t="s">
        <v>18</v>
      </c>
      <c r="B384" s="15">
        <v>6</v>
      </c>
      <c r="C384" s="15">
        <v>17</v>
      </c>
      <c r="D384" s="15">
        <v>6</v>
      </c>
      <c r="E384" s="15">
        <v>2</v>
      </c>
    </row>
    <row r="385" spans="1:14" x14ac:dyDescent="0.25">
      <c r="A385" t="s">
        <v>244</v>
      </c>
      <c r="B385" s="24">
        <v>20100</v>
      </c>
      <c r="C385">
        <v>20100</v>
      </c>
      <c r="D385">
        <v>20800</v>
      </c>
      <c r="E385">
        <v>18000</v>
      </c>
    </row>
    <row r="386" spans="1:14" x14ac:dyDescent="0.25">
      <c r="A386" t="s">
        <v>630</v>
      </c>
      <c r="B386" s="24">
        <v>790</v>
      </c>
      <c r="C386" s="15">
        <v>790</v>
      </c>
      <c r="D386">
        <v>800</v>
      </c>
      <c r="E386">
        <v>780</v>
      </c>
    </row>
    <row r="387" spans="1:14" x14ac:dyDescent="0.25">
      <c r="A387" t="s">
        <v>631</v>
      </c>
      <c r="B387" s="24">
        <v>109</v>
      </c>
      <c r="C387">
        <v>109</v>
      </c>
      <c r="D387">
        <v>119</v>
      </c>
      <c r="E387">
        <v>99</v>
      </c>
    </row>
    <row r="388" spans="1:14" x14ac:dyDescent="0.25">
      <c r="A388" s="15" t="s">
        <v>26</v>
      </c>
      <c r="B388" s="15">
        <v>28</v>
      </c>
      <c r="C388" s="15">
        <v>180</v>
      </c>
      <c r="D388" s="15">
        <v>51</v>
      </c>
      <c r="E388" s="15">
        <v>12</v>
      </c>
    </row>
    <row r="389" spans="1:14" x14ac:dyDescent="0.25">
      <c r="A389" t="s">
        <v>265</v>
      </c>
      <c r="B389" s="24">
        <v>340</v>
      </c>
      <c r="C389" s="15">
        <v>240</v>
      </c>
      <c r="D389">
        <v>440</v>
      </c>
      <c r="E389">
        <v>430</v>
      </c>
    </row>
    <row r="390" spans="1:14" x14ac:dyDescent="0.25">
      <c r="A390" s="15" t="s">
        <v>30</v>
      </c>
      <c r="B390" s="15">
        <v>9</v>
      </c>
      <c r="C390" s="15">
        <v>35</v>
      </c>
      <c r="D390" s="15">
        <v>4</v>
      </c>
      <c r="E390" s="15">
        <v>0</v>
      </c>
    </row>
    <row r="391" spans="1:14" x14ac:dyDescent="0.25">
      <c r="A391" s="15" t="s">
        <v>34</v>
      </c>
      <c r="B391" s="15">
        <v>1</v>
      </c>
      <c r="C391" s="15">
        <v>7</v>
      </c>
      <c r="D391" s="15">
        <v>1</v>
      </c>
      <c r="E391" s="15">
        <v>0</v>
      </c>
    </row>
    <row r="392" spans="1:14" x14ac:dyDescent="0.25">
      <c r="A392" t="s">
        <v>632</v>
      </c>
      <c r="B392" s="24">
        <v>5500</v>
      </c>
      <c r="C392" s="24">
        <v>5500</v>
      </c>
      <c r="D392" s="24">
        <v>5500</v>
      </c>
      <c r="E392" s="15">
        <v>5500</v>
      </c>
    </row>
    <row r="395" spans="1:14" x14ac:dyDescent="0.25">
      <c r="A395" s="6" t="s">
        <v>648</v>
      </c>
      <c r="B395" s="6"/>
      <c r="C395" s="6"/>
      <c r="D395" s="6"/>
      <c r="E395" s="6"/>
      <c r="F395" s="6"/>
      <c r="G395" s="6"/>
      <c r="H395" s="6"/>
      <c r="I395" s="6"/>
      <c r="J395" s="6"/>
      <c r="K395" s="6"/>
      <c r="L395" s="6"/>
      <c r="M395" s="6"/>
      <c r="N395" s="6"/>
    </row>
    <row r="396" spans="1:14" x14ac:dyDescent="0.25">
      <c r="A396" s="30" t="s">
        <v>404</v>
      </c>
      <c r="B396" s="6"/>
      <c r="C396" s="6"/>
      <c r="D396" s="6"/>
      <c r="E396" s="6"/>
      <c r="F396" s="6"/>
      <c r="G396" s="6"/>
      <c r="H396" s="6"/>
      <c r="I396" s="6"/>
      <c r="J396" s="6"/>
      <c r="K396" s="6"/>
      <c r="L396" s="6"/>
      <c r="M396" s="6"/>
      <c r="N396" s="6"/>
    </row>
    <row r="397" spans="1:14" x14ac:dyDescent="0.25">
      <c r="A397" s="18" t="s">
        <v>413</v>
      </c>
    </row>
    <row r="399" spans="1:14" x14ac:dyDescent="0.25">
      <c r="A399" t="s">
        <v>649</v>
      </c>
    </row>
    <row r="402" spans="1:14" x14ac:dyDescent="0.25">
      <c r="A402" s="6" t="s">
        <v>651</v>
      </c>
      <c r="B402" s="6"/>
      <c r="C402" s="6"/>
      <c r="D402" s="6"/>
      <c r="E402" s="6"/>
      <c r="F402" s="6"/>
      <c r="G402" s="6"/>
      <c r="H402" s="6"/>
      <c r="I402" s="6"/>
      <c r="J402" s="6"/>
      <c r="K402" s="6"/>
      <c r="L402" s="6"/>
      <c r="M402" s="6"/>
      <c r="N402" s="6"/>
    </row>
    <row r="403" spans="1:14" x14ac:dyDescent="0.25">
      <c r="A403" s="30" t="s">
        <v>650</v>
      </c>
      <c r="B403" s="6"/>
      <c r="C403" s="6"/>
      <c r="D403" s="6"/>
      <c r="E403" s="6"/>
      <c r="F403" s="6"/>
      <c r="G403" s="6"/>
      <c r="H403" s="6"/>
      <c r="I403" s="6"/>
      <c r="J403" s="6"/>
      <c r="K403" s="6"/>
      <c r="L403" s="6"/>
      <c r="M403" s="6"/>
      <c r="N403" s="6"/>
    </row>
    <row r="404" spans="1:14" x14ac:dyDescent="0.25">
      <c r="A404" s="18" t="s">
        <v>652</v>
      </c>
    </row>
    <row r="406" spans="1:14" x14ac:dyDescent="0.25">
      <c r="A406" t="s">
        <v>653</v>
      </c>
    </row>
    <row r="409" spans="1:14" x14ac:dyDescent="0.25">
      <c r="A409" s="5" t="s">
        <v>654</v>
      </c>
      <c r="B409" s="5"/>
      <c r="C409" s="5"/>
      <c r="D409" s="5"/>
      <c r="E409" s="5"/>
      <c r="F409" s="5"/>
      <c r="G409" s="5"/>
      <c r="H409" s="5"/>
      <c r="I409" s="5"/>
      <c r="J409" s="5"/>
      <c r="K409" s="5"/>
      <c r="L409" s="5"/>
      <c r="M409" s="5"/>
      <c r="N409" s="5"/>
    </row>
    <row r="410" spans="1:14" x14ac:dyDescent="0.25">
      <c r="A410" s="5" t="s">
        <v>655</v>
      </c>
      <c r="B410" s="5"/>
      <c r="C410" s="5"/>
      <c r="D410" s="5"/>
      <c r="E410" s="5"/>
      <c r="F410" s="5"/>
      <c r="G410" s="5"/>
      <c r="H410" s="5"/>
      <c r="I410" s="5"/>
      <c r="J410" s="5"/>
      <c r="K410" s="5"/>
      <c r="L410" s="5"/>
      <c r="M410" s="5"/>
      <c r="N410" s="5"/>
    </row>
    <row r="411" spans="1:14" x14ac:dyDescent="0.25">
      <c r="A411" s="18" t="s">
        <v>676</v>
      </c>
    </row>
    <row r="412" spans="1:14" x14ac:dyDescent="0.25">
      <c r="A412" t="s">
        <v>677</v>
      </c>
    </row>
    <row r="413" spans="1:14" ht="15.75" thickBot="1" x14ac:dyDescent="0.3"/>
    <row r="414" spans="1:14" x14ac:dyDescent="0.25">
      <c r="A414" s="218" t="s">
        <v>656</v>
      </c>
      <c r="B414" s="218" t="s">
        <v>657</v>
      </c>
      <c r="C414" s="218" t="s">
        <v>658</v>
      </c>
      <c r="D414" s="218" t="s">
        <v>659</v>
      </c>
      <c r="E414" s="218" t="s">
        <v>660</v>
      </c>
      <c r="F414" s="218" t="s">
        <v>661</v>
      </c>
      <c r="G414" s="218" t="s">
        <v>662</v>
      </c>
      <c r="H414" s="218" t="s">
        <v>663</v>
      </c>
      <c r="I414" s="218" t="s">
        <v>664</v>
      </c>
      <c r="J414" s="218" t="s">
        <v>665</v>
      </c>
      <c r="K414" s="218" t="s">
        <v>666</v>
      </c>
      <c r="L414" s="72" t="s">
        <v>667</v>
      </c>
    </row>
    <row r="415" spans="1:14" ht="15.75" thickBot="1" x14ac:dyDescent="0.3">
      <c r="A415" s="219"/>
      <c r="B415" s="219"/>
      <c r="C415" s="219"/>
      <c r="D415" s="219"/>
      <c r="E415" s="219"/>
      <c r="F415" s="219"/>
      <c r="G415" s="219"/>
      <c r="H415" s="219"/>
      <c r="I415" s="219"/>
      <c r="J415" s="219"/>
      <c r="K415" s="219"/>
      <c r="L415" s="73" t="s">
        <v>668</v>
      </c>
    </row>
    <row r="416" spans="1:14" x14ac:dyDescent="0.25">
      <c r="A416" s="74" t="s">
        <v>669</v>
      </c>
      <c r="B416" s="75"/>
      <c r="C416" s="75"/>
      <c r="D416" s="75"/>
      <c r="E416" s="75"/>
      <c r="F416" s="75">
        <v>6.6100000000000004E-3</v>
      </c>
      <c r="G416" s="75">
        <v>0.26500000000000001</v>
      </c>
      <c r="H416" s="75">
        <v>0.24426</v>
      </c>
      <c r="I416" s="75"/>
      <c r="J416" s="75"/>
      <c r="K416" s="75"/>
      <c r="L416" s="75"/>
    </row>
    <row r="417" spans="1:12" x14ac:dyDescent="0.25">
      <c r="A417" s="74" t="s">
        <v>629</v>
      </c>
      <c r="B417" s="75">
        <v>2.2000000000000002</v>
      </c>
      <c r="C417" s="75">
        <v>3.7</v>
      </c>
      <c r="D417" s="75"/>
      <c r="E417" s="75"/>
      <c r="F417" s="75">
        <v>0.63400000000000001</v>
      </c>
      <c r="G417" s="75"/>
      <c r="H417" s="75">
        <v>6.0999999999999999E-2</v>
      </c>
      <c r="I417" s="75">
        <v>0.3589</v>
      </c>
      <c r="J417" s="75">
        <v>0.29355999999999999</v>
      </c>
      <c r="K417" s="75">
        <v>0.35</v>
      </c>
      <c r="L417" s="75">
        <v>1.5</v>
      </c>
    </row>
    <row r="418" spans="1:12" x14ac:dyDescent="0.25">
      <c r="A418" s="74" t="s">
        <v>0</v>
      </c>
      <c r="B418" s="75">
        <v>3.2</v>
      </c>
      <c r="C418" s="75">
        <v>1.4</v>
      </c>
      <c r="D418" s="75">
        <v>0.82499999999999996</v>
      </c>
      <c r="E418" s="75">
        <v>0.94299999999999995</v>
      </c>
      <c r="F418" s="75">
        <v>1.0049999999999999</v>
      </c>
      <c r="G418" s="75">
        <v>0.45</v>
      </c>
      <c r="H418" s="75">
        <v>5.1806999999999999</v>
      </c>
      <c r="I418" s="75">
        <v>1.012</v>
      </c>
      <c r="J418" s="75">
        <v>1.484</v>
      </c>
      <c r="K418" s="75">
        <v>1.345</v>
      </c>
      <c r="L418" s="75">
        <v>1.05</v>
      </c>
    </row>
    <row r="419" spans="1:12" x14ac:dyDescent="0.25">
      <c r="A419" s="74" t="s">
        <v>22</v>
      </c>
      <c r="B419" s="75"/>
      <c r="C419" s="75"/>
      <c r="D419" s="75"/>
      <c r="E419" s="75"/>
      <c r="F419" s="75"/>
      <c r="G419" s="75">
        <v>0.124</v>
      </c>
      <c r="H419" s="75"/>
      <c r="I419" s="75"/>
      <c r="J419" s="75"/>
      <c r="K419" s="75"/>
      <c r="L419" s="75"/>
    </row>
    <row r="420" spans="1:12" x14ac:dyDescent="0.25">
      <c r="A420" s="74" t="s">
        <v>23</v>
      </c>
      <c r="B420" s="75"/>
      <c r="C420" s="75"/>
      <c r="D420" s="75"/>
      <c r="E420" s="75"/>
      <c r="F420" s="75">
        <v>1.341E-2</v>
      </c>
      <c r="G420" s="75">
        <v>5.5E-2</v>
      </c>
      <c r="H420" s="75"/>
      <c r="I420" s="75"/>
      <c r="J420" s="75"/>
      <c r="K420" s="75"/>
      <c r="L420" s="75"/>
    </row>
    <row r="421" spans="1:12" x14ac:dyDescent="0.25">
      <c r="A421" s="74" t="s">
        <v>670</v>
      </c>
      <c r="B421" s="75"/>
      <c r="C421" s="75"/>
      <c r="D421" s="75">
        <v>5.5300000000000002E-3</v>
      </c>
      <c r="E421" s="75">
        <v>6.3200000000000001E-3</v>
      </c>
      <c r="F421" s="75"/>
      <c r="G421" s="75"/>
      <c r="H421" s="75">
        <v>7.7999999999999996E-3</v>
      </c>
      <c r="I421" s="75"/>
      <c r="J421" s="75"/>
      <c r="K421" s="75">
        <v>0.04</v>
      </c>
      <c r="L421" s="75">
        <v>0.3</v>
      </c>
    </row>
    <row r="422" spans="1:12" x14ac:dyDescent="0.25">
      <c r="A422" s="74" t="s">
        <v>631</v>
      </c>
      <c r="B422" s="75">
        <v>0.2</v>
      </c>
      <c r="C422" s="75">
        <v>5.6000000000000001E-2</v>
      </c>
      <c r="F422" s="75">
        <v>1.0619999999999999E-2</v>
      </c>
      <c r="G422" s="75">
        <v>0.109</v>
      </c>
      <c r="H422" s="75">
        <v>5.0000000000000001E-4</v>
      </c>
      <c r="I422" s="75">
        <v>7.5300000000000006E-2</v>
      </c>
      <c r="J422" s="75">
        <v>7.5314999999999993E-2</v>
      </c>
      <c r="K422" s="75"/>
      <c r="L422" s="75">
        <v>0.25</v>
      </c>
    </row>
    <row r="423" spans="1:12" x14ac:dyDescent="0.25">
      <c r="A423" s="74" t="s">
        <v>265</v>
      </c>
      <c r="B423" s="75">
        <v>0.94</v>
      </c>
      <c r="C423" s="75">
        <v>1.8</v>
      </c>
      <c r="D423" s="75">
        <v>1.2999999999999999E-3</v>
      </c>
      <c r="E423" s="75">
        <v>1.2999999999999999E-3</v>
      </c>
      <c r="F423" s="75">
        <v>0.33400000000000002</v>
      </c>
      <c r="G423" s="75"/>
      <c r="H423" s="75">
        <v>1.559E-2</v>
      </c>
      <c r="I423" s="75">
        <v>0.37659999999999999</v>
      </c>
      <c r="J423" s="75">
        <v>0.37657000000000002</v>
      </c>
      <c r="K423" s="75">
        <v>0.3</v>
      </c>
      <c r="L423" s="75"/>
    </row>
    <row r="424" spans="1:12" x14ac:dyDescent="0.25">
      <c r="A424" s="74" t="s">
        <v>27</v>
      </c>
      <c r="B424" s="75"/>
      <c r="C424" s="75"/>
      <c r="D424" s="75"/>
      <c r="E424" s="75"/>
      <c r="F424" s="75"/>
      <c r="G424" s="75"/>
      <c r="H424" s="75"/>
      <c r="I424" s="75">
        <v>3.7699999999999997E-2</v>
      </c>
      <c r="J424" s="75">
        <v>3.7657000000000003E-2</v>
      </c>
      <c r="K424" s="75"/>
      <c r="L424" s="75"/>
    </row>
    <row r="425" spans="1:12" x14ac:dyDescent="0.25">
      <c r="A425" s="74" t="s">
        <v>671</v>
      </c>
      <c r="B425" s="75"/>
      <c r="C425" s="75"/>
      <c r="D425" s="75"/>
      <c r="E425" s="75"/>
      <c r="F425" s="75"/>
      <c r="G425" s="75">
        <v>0.11</v>
      </c>
      <c r="H425" s="75"/>
      <c r="I425" s="75"/>
      <c r="J425" s="75"/>
      <c r="K425" s="75"/>
      <c r="L425" s="75"/>
    </row>
    <row r="426" spans="1:12" x14ac:dyDescent="0.25">
      <c r="A426" s="74" t="s">
        <v>672</v>
      </c>
      <c r="B426" s="75">
        <v>1.342E-2</v>
      </c>
      <c r="C426" s="75">
        <v>1.702E-2</v>
      </c>
      <c r="D426" s="75">
        <v>5.8999999999999997E-2</v>
      </c>
      <c r="E426" s="75">
        <v>6.8169999999999994E-2</v>
      </c>
      <c r="F426" s="75"/>
      <c r="G426" s="75"/>
      <c r="H426" s="75"/>
      <c r="I426" s="75"/>
      <c r="J426" s="75"/>
      <c r="K426" s="75"/>
      <c r="L426" s="75"/>
    </row>
    <row r="427" spans="1:12" x14ac:dyDescent="0.25">
      <c r="A427" s="74" t="s">
        <v>673</v>
      </c>
      <c r="B427" s="75"/>
      <c r="C427" s="75"/>
      <c r="D427" s="75"/>
      <c r="E427" s="75"/>
      <c r="F427" s="75">
        <v>7.4999999999999997E-3</v>
      </c>
      <c r="G427" s="75"/>
      <c r="H427" s="75">
        <v>0.24287</v>
      </c>
      <c r="I427" s="75"/>
      <c r="J427" s="75"/>
      <c r="K427" s="75"/>
      <c r="L427" s="75"/>
    </row>
    <row r="428" spans="1:12" x14ac:dyDescent="0.25">
      <c r="A428" s="74" t="s">
        <v>674</v>
      </c>
      <c r="B428" s="75"/>
      <c r="C428" s="75"/>
      <c r="D428" s="75"/>
      <c r="E428" s="75"/>
      <c r="F428" s="75">
        <v>0.14321</v>
      </c>
      <c r="G428" s="75"/>
      <c r="H428" s="75"/>
      <c r="I428" s="75"/>
      <c r="J428" s="75"/>
      <c r="K428" s="75"/>
      <c r="L428" s="75"/>
    </row>
    <row r="429" spans="1:12" x14ac:dyDescent="0.25">
      <c r="A429" s="74" t="s">
        <v>675</v>
      </c>
      <c r="B429" s="75">
        <v>1.9E-3</v>
      </c>
      <c r="C429" s="75">
        <v>1.6999999999999999E-3</v>
      </c>
      <c r="D429" s="75"/>
      <c r="E429" s="75"/>
      <c r="F429" s="75"/>
      <c r="G429" s="75"/>
      <c r="H429" s="75"/>
      <c r="I429" s="75">
        <v>9.0399999999999994E-2</v>
      </c>
      <c r="J429" s="75">
        <v>9.0378700000000006E-2</v>
      </c>
      <c r="K429" s="75"/>
      <c r="L429" s="75"/>
    </row>
    <row r="430" spans="1:12" x14ac:dyDescent="0.25">
      <c r="A430" s="74" t="s">
        <v>632</v>
      </c>
      <c r="B430" s="75">
        <v>0.65</v>
      </c>
      <c r="C430" s="75">
        <v>1.4</v>
      </c>
      <c r="D430" s="75">
        <v>1.562E-2</v>
      </c>
      <c r="E430" s="75">
        <v>1.7850000000000001E-2</v>
      </c>
      <c r="F430" s="75"/>
      <c r="G430" s="75">
        <v>0.121</v>
      </c>
      <c r="H430" s="75"/>
      <c r="I430" s="75"/>
      <c r="J430" s="75"/>
      <c r="K430" s="75"/>
      <c r="L430" s="75">
        <v>0.4</v>
      </c>
    </row>
    <row r="431" spans="1:12" x14ac:dyDescent="0.25">
      <c r="A431" s="74" t="s">
        <v>30</v>
      </c>
      <c r="B431" s="75"/>
      <c r="C431" s="75"/>
      <c r="D431" s="75"/>
      <c r="E431" s="75"/>
      <c r="F431" s="75"/>
      <c r="G431" s="75"/>
      <c r="H431" s="75"/>
      <c r="I431" s="75">
        <v>1.2999999999999999E-3</v>
      </c>
      <c r="J431" s="75">
        <v>3.0800000000000001E-2</v>
      </c>
      <c r="K431" s="75"/>
      <c r="L431" s="75"/>
    </row>
    <row r="432" spans="1:12" x14ac:dyDescent="0.25">
      <c r="A432" s="74" t="s">
        <v>26</v>
      </c>
      <c r="B432" s="75"/>
      <c r="C432" s="75"/>
      <c r="D432" s="75"/>
      <c r="E432" s="75"/>
      <c r="F432" s="75"/>
      <c r="G432" s="75"/>
      <c r="H432" s="75"/>
      <c r="I432" s="75">
        <v>6.1999999999999998E-3</v>
      </c>
      <c r="J432" s="75">
        <v>0.15092</v>
      </c>
      <c r="K432" s="75"/>
      <c r="L432" s="75"/>
    </row>
    <row r="433" spans="1:12" x14ac:dyDescent="0.25">
      <c r="A433" s="74" t="s">
        <v>34</v>
      </c>
      <c r="B433" s="75"/>
      <c r="C433" s="75"/>
      <c r="D433" s="75"/>
      <c r="E433" s="75"/>
      <c r="F433" s="75"/>
      <c r="G433" s="75"/>
      <c r="H433" s="75"/>
      <c r="I433" s="75">
        <v>2.9999999999999997E-4</v>
      </c>
      <c r="J433" s="75">
        <v>6.1599999999999997E-3</v>
      </c>
      <c r="K433" s="75"/>
      <c r="L433" s="75"/>
    </row>
    <row r="434" spans="1:12" ht="15.75" thickBot="1" x14ac:dyDescent="0.3">
      <c r="A434" s="76" t="s">
        <v>18</v>
      </c>
      <c r="B434" s="77"/>
      <c r="C434" s="77"/>
      <c r="D434" s="77"/>
      <c r="E434" s="77"/>
      <c r="F434" s="77"/>
      <c r="G434" s="77"/>
      <c r="H434" s="77"/>
      <c r="I434" s="77">
        <v>8.9999999999999998E-4</v>
      </c>
      <c r="J434" s="77">
        <v>2.1559999999999999E-2</v>
      </c>
      <c r="K434" s="77"/>
      <c r="L434" s="77"/>
    </row>
    <row r="437" spans="1:12" ht="15.75" thickBot="1" x14ac:dyDescent="0.3">
      <c r="A437" s="78" t="s">
        <v>537</v>
      </c>
      <c r="B437" t="s">
        <v>679</v>
      </c>
      <c r="C437" t="s">
        <v>678</v>
      </c>
    </row>
    <row r="438" spans="1:12" x14ac:dyDescent="0.25">
      <c r="B438" s="218" t="s">
        <v>664</v>
      </c>
      <c r="C438" s="218" t="s">
        <v>665</v>
      </c>
    </row>
    <row r="439" spans="1:12" ht="15.75" thickBot="1" x14ac:dyDescent="0.3">
      <c r="B439" s="219"/>
      <c r="C439" s="219"/>
    </row>
    <row r="440" spans="1:12" x14ac:dyDescent="0.25">
      <c r="A440" s="74" t="s">
        <v>629</v>
      </c>
      <c r="B440" s="15">
        <f>I417*1000</f>
        <v>358.9</v>
      </c>
      <c r="C440" s="15">
        <f>J417*1000</f>
        <v>293.56</v>
      </c>
    </row>
    <row r="441" spans="1:12" x14ac:dyDescent="0.25">
      <c r="A441" s="74" t="s">
        <v>0</v>
      </c>
      <c r="B441" s="15">
        <f>I418*1000</f>
        <v>1012</v>
      </c>
      <c r="C441" s="15">
        <f>J418*1000</f>
        <v>1484</v>
      </c>
    </row>
    <row r="442" spans="1:12" x14ac:dyDescent="0.25">
      <c r="A442" s="74" t="s">
        <v>631</v>
      </c>
      <c r="B442" s="15">
        <f>I422*1000</f>
        <v>75.300000000000011</v>
      </c>
      <c r="C442" s="15">
        <f>J422*1000</f>
        <v>75.314999999999998</v>
      </c>
    </row>
    <row r="443" spans="1:12" x14ac:dyDescent="0.25">
      <c r="A443" s="74" t="s">
        <v>265</v>
      </c>
      <c r="B443" s="15">
        <f t="shared" ref="B443:C444" si="3">I423*1000</f>
        <v>376.59999999999997</v>
      </c>
      <c r="C443" s="15">
        <f t="shared" si="3"/>
        <v>376.57</v>
      </c>
    </row>
    <row r="444" spans="1:12" x14ac:dyDescent="0.25">
      <c r="A444" s="74" t="s">
        <v>27</v>
      </c>
      <c r="B444" s="15">
        <f t="shared" si="3"/>
        <v>37.699999999999996</v>
      </c>
      <c r="C444" s="15">
        <f t="shared" si="3"/>
        <v>37.657000000000004</v>
      </c>
    </row>
    <row r="445" spans="1:12" x14ac:dyDescent="0.25">
      <c r="A445" s="74" t="s">
        <v>675</v>
      </c>
      <c r="B445" s="15">
        <f>I429*1000</f>
        <v>90.399999999999991</v>
      </c>
      <c r="C445" s="15">
        <f>J429*1000</f>
        <v>90.378700000000009</v>
      </c>
    </row>
    <row r="446" spans="1:12" x14ac:dyDescent="0.25">
      <c r="A446" s="74" t="s">
        <v>30</v>
      </c>
      <c r="B446" s="15">
        <f>I431*1000</f>
        <v>1.3</v>
      </c>
      <c r="C446" s="15">
        <f>J431*1000</f>
        <v>30.8</v>
      </c>
    </row>
    <row r="447" spans="1:12" x14ac:dyDescent="0.25">
      <c r="A447" s="74" t="s">
        <v>26</v>
      </c>
      <c r="B447" s="15">
        <f t="shared" ref="B447:C449" si="4">I432*1000</f>
        <v>6.2</v>
      </c>
      <c r="C447" s="15">
        <f t="shared" si="4"/>
        <v>150.91999999999999</v>
      </c>
    </row>
    <row r="448" spans="1:12" x14ac:dyDescent="0.25">
      <c r="A448" s="74" t="s">
        <v>34</v>
      </c>
      <c r="B448" s="15">
        <f t="shared" si="4"/>
        <v>0.3</v>
      </c>
      <c r="C448" s="15">
        <f t="shared" si="4"/>
        <v>6.1599999999999993</v>
      </c>
    </row>
    <row r="449" spans="1:14" x14ac:dyDescent="0.25">
      <c r="A449" t="s">
        <v>18</v>
      </c>
      <c r="B449" s="15">
        <f t="shared" si="4"/>
        <v>0.9</v>
      </c>
      <c r="C449" s="15">
        <f t="shared" si="4"/>
        <v>21.56</v>
      </c>
    </row>
    <row r="454" spans="1:14" x14ac:dyDescent="0.25">
      <c r="A454" s="6" t="s">
        <v>680</v>
      </c>
      <c r="B454" s="6"/>
      <c r="C454" s="6"/>
      <c r="D454" s="6"/>
      <c r="E454" s="6"/>
      <c r="F454" s="6"/>
      <c r="G454" s="6"/>
      <c r="H454" s="6"/>
      <c r="I454" s="6"/>
      <c r="J454" s="6"/>
      <c r="K454" s="6"/>
      <c r="L454" s="6"/>
      <c r="M454" s="6"/>
      <c r="N454" s="6"/>
    </row>
    <row r="455" spans="1:14" x14ac:dyDescent="0.25">
      <c r="A455" s="6" t="s">
        <v>681</v>
      </c>
      <c r="B455" s="6"/>
      <c r="C455" s="6"/>
      <c r="D455" s="6"/>
      <c r="E455" s="6"/>
      <c r="F455" s="6"/>
      <c r="G455" s="6"/>
      <c r="H455" s="6"/>
      <c r="I455" s="6"/>
      <c r="J455" s="6"/>
      <c r="K455" s="6"/>
      <c r="L455" s="6"/>
      <c r="M455" s="6"/>
      <c r="N455" s="6"/>
    </row>
    <row r="456" spans="1:14" x14ac:dyDescent="0.25">
      <c r="A456" s="18" t="s">
        <v>682</v>
      </c>
    </row>
    <row r="457" spans="1:14" x14ac:dyDescent="0.25">
      <c r="A457" t="s">
        <v>683</v>
      </c>
    </row>
    <row r="459" spans="1:14" x14ac:dyDescent="0.25">
      <c r="A459" t="s">
        <v>690</v>
      </c>
    </row>
    <row r="464" spans="1:14" x14ac:dyDescent="0.25">
      <c r="A464" s="6" t="s">
        <v>687</v>
      </c>
      <c r="B464" s="6"/>
      <c r="C464" s="6"/>
      <c r="D464" s="6"/>
      <c r="E464" s="6"/>
      <c r="F464" s="6"/>
      <c r="G464" s="6"/>
      <c r="H464" s="6"/>
      <c r="I464" s="6"/>
      <c r="J464" s="6"/>
      <c r="K464" s="6"/>
      <c r="L464" s="6"/>
      <c r="M464" s="6"/>
      <c r="N464" s="6"/>
    </row>
    <row r="465" spans="1:14" x14ac:dyDescent="0.25">
      <c r="A465" s="30" t="s">
        <v>688</v>
      </c>
      <c r="B465" s="6"/>
      <c r="C465" s="6"/>
      <c r="D465" s="6"/>
      <c r="E465" s="6"/>
      <c r="F465" s="6"/>
      <c r="G465" s="6"/>
      <c r="H465" s="6"/>
      <c r="I465" s="6"/>
      <c r="J465" s="6"/>
      <c r="K465" s="6"/>
      <c r="L465" s="6"/>
      <c r="M465" s="6"/>
      <c r="N465" s="6"/>
    </row>
    <row r="466" spans="1:14" x14ac:dyDescent="0.25">
      <c r="A466" s="18" t="s">
        <v>689</v>
      </c>
    </row>
    <row r="468" spans="1:14" x14ac:dyDescent="0.25">
      <c r="A468" t="s">
        <v>692</v>
      </c>
    </row>
    <row r="484" spans="1:14" x14ac:dyDescent="0.25">
      <c r="A484" s="6" t="s">
        <v>684</v>
      </c>
      <c r="B484" s="6"/>
      <c r="C484" s="6"/>
      <c r="D484" s="6"/>
      <c r="E484" s="6"/>
      <c r="F484" s="6"/>
      <c r="G484" s="6"/>
      <c r="H484" s="6"/>
      <c r="I484" s="6"/>
      <c r="J484" s="6"/>
      <c r="K484" s="6"/>
      <c r="L484" s="6"/>
      <c r="M484" s="6"/>
      <c r="N484" s="6"/>
    </row>
    <row r="485" spans="1:14" x14ac:dyDescent="0.25">
      <c r="A485" s="30" t="s">
        <v>685</v>
      </c>
      <c r="B485" s="6"/>
      <c r="C485" s="6"/>
      <c r="D485" s="6"/>
      <c r="E485" s="6"/>
      <c r="F485" s="6"/>
      <c r="G485" s="6"/>
      <c r="H485" s="6"/>
      <c r="I485" s="6"/>
      <c r="J485" s="6"/>
      <c r="K485" s="6"/>
      <c r="L485" s="6"/>
      <c r="M485" s="6"/>
      <c r="N485" s="6"/>
    </row>
    <row r="486" spans="1:14" x14ac:dyDescent="0.25">
      <c r="A486" s="18" t="s">
        <v>686</v>
      </c>
    </row>
    <row r="488" spans="1:14" x14ac:dyDescent="0.25">
      <c r="A488" t="s">
        <v>691</v>
      </c>
    </row>
    <row r="491" spans="1:14" x14ac:dyDescent="0.25">
      <c r="A491" s="6" t="s">
        <v>694</v>
      </c>
      <c r="B491" s="6"/>
      <c r="C491" s="6"/>
      <c r="D491" s="6"/>
      <c r="E491" s="6"/>
      <c r="F491" s="6"/>
      <c r="G491" s="6"/>
      <c r="H491" s="6"/>
      <c r="I491" s="6"/>
      <c r="J491" s="6"/>
      <c r="K491" s="6"/>
      <c r="L491" s="6"/>
      <c r="M491" s="6"/>
      <c r="N491" s="6"/>
    </row>
    <row r="492" spans="1:14" x14ac:dyDescent="0.25">
      <c r="A492" s="30" t="s">
        <v>693</v>
      </c>
      <c r="B492" s="6"/>
      <c r="C492" s="6"/>
      <c r="D492" s="6"/>
      <c r="E492" s="6"/>
      <c r="F492" s="6"/>
      <c r="G492" s="6"/>
      <c r="H492" s="6"/>
      <c r="I492" s="6"/>
      <c r="J492" s="6"/>
      <c r="K492" s="6"/>
      <c r="L492" s="6"/>
      <c r="M492" s="6"/>
      <c r="N492" s="6"/>
    </row>
    <row r="494" spans="1:14" x14ac:dyDescent="0.25">
      <c r="A494" t="s">
        <v>695</v>
      </c>
    </row>
    <row r="501" spans="1:14" x14ac:dyDescent="0.25">
      <c r="A501" s="6" t="s">
        <v>697</v>
      </c>
      <c r="B501" s="6"/>
      <c r="C501" s="6"/>
      <c r="D501" s="6"/>
      <c r="E501" s="6"/>
      <c r="F501" s="6"/>
      <c r="G501" s="6"/>
      <c r="H501" s="6"/>
      <c r="I501" s="6"/>
      <c r="J501" s="6"/>
      <c r="K501" s="6"/>
      <c r="L501" s="6"/>
      <c r="M501" s="6"/>
      <c r="N501" s="6"/>
    </row>
    <row r="502" spans="1:14" x14ac:dyDescent="0.25">
      <c r="A502" s="30" t="s">
        <v>696</v>
      </c>
      <c r="B502" s="6"/>
      <c r="C502" s="6"/>
      <c r="D502" s="6"/>
      <c r="E502" s="6"/>
      <c r="F502" s="6"/>
      <c r="G502" s="6"/>
      <c r="H502" s="6"/>
      <c r="I502" s="6"/>
      <c r="J502" s="6"/>
      <c r="K502" s="6"/>
      <c r="L502" s="6"/>
      <c r="M502" s="6"/>
      <c r="N502" s="6"/>
    </row>
    <row r="503" spans="1:14" x14ac:dyDescent="0.25">
      <c r="A503" s="18" t="s">
        <v>700</v>
      </c>
    </row>
    <row r="504" spans="1:14" x14ac:dyDescent="0.25">
      <c r="A504" t="s">
        <v>532</v>
      </c>
    </row>
    <row r="506" spans="1:14" x14ac:dyDescent="0.25">
      <c r="A506" t="s">
        <v>701</v>
      </c>
    </row>
    <row r="517" spans="1:14" x14ac:dyDescent="0.25">
      <c r="A517" s="6" t="s">
        <v>698</v>
      </c>
      <c r="B517" s="6"/>
      <c r="C517" s="6"/>
      <c r="D517" s="6"/>
      <c r="E517" s="6"/>
      <c r="F517" s="6"/>
      <c r="G517" s="6"/>
      <c r="H517" s="6"/>
      <c r="I517" s="6"/>
      <c r="J517" s="6"/>
      <c r="K517" s="6"/>
      <c r="L517" s="6"/>
      <c r="M517" s="6"/>
      <c r="N517" s="6"/>
    </row>
    <row r="518" spans="1:14" x14ac:dyDescent="0.25">
      <c r="A518" s="30" t="s">
        <v>699</v>
      </c>
      <c r="B518" s="6"/>
      <c r="C518" s="6"/>
      <c r="D518" s="6"/>
      <c r="E518" s="6"/>
      <c r="F518" s="6"/>
      <c r="G518" s="6"/>
      <c r="H518" s="6"/>
      <c r="I518" s="6"/>
      <c r="J518" s="6"/>
      <c r="K518" s="6"/>
      <c r="L518" s="6"/>
      <c r="M518" s="6"/>
      <c r="N518" s="6"/>
    </row>
    <row r="519" spans="1:14" x14ac:dyDescent="0.25">
      <c r="A519" s="18" t="s">
        <v>702</v>
      </c>
    </row>
    <row r="520" spans="1:14" x14ac:dyDescent="0.25">
      <c r="A520" t="s">
        <v>703</v>
      </c>
    </row>
    <row r="522" spans="1:14" x14ac:dyDescent="0.25">
      <c r="A522" t="s">
        <v>704</v>
      </c>
    </row>
    <row r="526" spans="1:14" x14ac:dyDescent="0.25">
      <c r="A526" s="6" t="s">
        <v>705</v>
      </c>
      <c r="B526" s="6"/>
      <c r="C526" s="6"/>
      <c r="D526" s="6"/>
      <c r="E526" s="6"/>
      <c r="F526" s="6"/>
      <c r="G526" s="6"/>
      <c r="H526" s="6"/>
      <c r="I526" s="6"/>
      <c r="J526" s="6"/>
      <c r="K526" s="6"/>
      <c r="L526" s="6"/>
      <c r="M526" s="6"/>
      <c r="N526" s="6"/>
    </row>
    <row r="527" spans="1:14" x14ac:dyDescent="0.25">
      <c r="A527" s="6" t="s">
        <v>707</v>
      </c>
      <c r="B527" s="6"/>
      <c r="C527" s="6"/>
      <c r="D527" s="6"/>
      <c r="E527" s="6"/>
      <c r="F527" s="6"/>
      <c r="G527" s="6"/>
      <c r="H527" s="6"/>
      <c r="I527" s="6"/>
      <c r="J527" s="6"/>
      <c r="K527" s="6"/>
      <c r="L527" s="6"/>
      <c r="M527" s="6"/>
      <c r="N527" s="6"/>
    </row>
    <row r="528" spans="1:14" x14ac:dyDescent="0.25">
      <c r="A528" s="18" t="s">
        <v>706</v>
      </c>
    </row>
    <row r="529" spans="1:14" x14ac:dyDescent="0.25">
      <c r="A529" t="s">
        <v>708</v>
      </c>
    </row>
    <row r="531" spans="1:14" x14ac:dyDescent="0.25">
      <c r="A531" t="s">
        <v>709</v>
      </c>
    </row>
    <row r="536" spans="1:14" x14ac:dyDescent="0.25">
      <c r="A536" s="6" t="s">
        <v>712</v>
      </c>
      <c r="B536" s="6"/>
      <c r="C536" s="6"/>
      <c r="D536" s="6"/>
      <c r="E536" s="6"/>
      <c r="F536" s="6"/>
      <c r="G536" s="6"/>
      <c r="H536" s="6"/>
      <c r="I536" s="6"/>
      <c r="J536" s="6"/>
      <c r="K536" s="6"/>
      <c r="L536" s="6"/>
      <c r="M536" s="6"/>
      <c r="N536" s="6"/>
    </row>
    <row r="537" spans="1:14" x14ac:dyDescent="0.25">
      <c r="A537" s="6" t="s">
        <v>711</v>
      </c>
      <c r="B537" s="6"/>
      <c r="C537" s="6"/>
      <c r="D537" s="6"/>
      <c r="E537" s="6"/>
      <c r="F537" s="6"/>
      <c r="G537" s="6"/>
      <c r="H537" s="6"/>
      <c r="I537" s="6"/>
      <c r="J537" s="6"/>
      <c r="K537" s="6"/>
      <c r="L537" s="6"/>
      <c r="M537" s="6"/>
      <c r="N537" s="6"/>
    </row>
    <row r="538" spans="1:14" x14ac:dyDescent="0.25">
      <c r="A538" s="18" t="s">
        <v>710</v>
      </c>
    </row>
    <row r="540" spans="1:14" x14ac:dyDescent="0.25">
      <c r="A540" t="s">
        <v>713</v>
      </c>
      <c r="B540" s="15" t="s">
        <v>595</v>
      </c>
    </row>
    <row r="542" spans="1:14" x14ac:dyDescent="0.25">
      <c r="B542" t="s">
        <v>537</v>
      </c>
    </row>
    <row r="543" spans="1:14" x14ac:dyDescent="0.25">
      <c r="A543" t="s">
        <v>105</v>
      </c>
      <c r="B543">
        <f>2000*0.12/5</f>
        <v>48</v>
      </c>
    </row>
    <row r="545" spans="1:14" x14ac:dyDescent="0.25">
      <c r="A545" t="s">
        <v>714</v>
      </c>
    </row>
    <row r="551" spans="1:14" x14ac:dyDescent="0.25">
      <c r="A551" s="10" t="s">
        <v>716</v>
      </c>
      <c r="B551" s="10"/>
      <c r="C551" s="10"/>
      <c r="D551" s="10"/>
      <c r="E551" s="10"/>
      <c r="F551" s="10"/>
      <c r="G551" s="10"/>
      <c r="H551" s="10"/>
      <c r="I551" s="10"/>
      <c r="J551" s="10"/>
      <c r="K551" s="10"/>
      <c r="L551" s="10"/>
      <c r="M551" s="10"/>
      <c r="N551" s="10"/>
    </row>
    <row r="552" spans="1:14" x14ac:dyDescent="0.25">
      <c r="A552" s="10" t="s">
        <v>717</v>
      </c>
      <c r="B552" s="10"/>
      <c r="C552" s="10"/>
      <c r="D552" s="10"/>
      <c r="E552" s="10"/>
      <c r="F552" s="10"/>
      <c r="G552" s="10"/>
      <c r="H552" s="10"/>
      <c r="I552" s="10"/>
      <c r="J552" s="10"/>
      <c r="K552" s="10"/>
      <c r="L552" s="10"/>
      <c r="M552" s="10"/>
      <c r="N552" s="10"/>
    </row>
    <row r="553" spans="1:14" x14ac:dyDescent="0.25">
      <c r="A553" s="18" t="s">
        <v>715</v>
      </c>
    </row>
    <row r="554" spans="1:14" x14ac:dyDescent="0.25">
      <c r="A554" t="s">
        <v>718</v>
      </c>
    </row>
    <row r="556" spans="1:14" x14ac:dyDescent="0.25">
      <c r="B556" t="s">
        <v>537</v>
      </c>
    </row>
    <row r="557" spans="1:14" x14ac:dyDescent="0.25">
      <c r="A557" t="s">
        <v>105</v>
      </c>
      <c r="B557">
        <v>185</v>
      </c>
    </row>
    <row r="558" spans="1:14" x14ac:dyDescent="0.25">
      <c r="A558" t="s">
        <v>96</v>
      </c>
      <c r="B558">
        <v>21</v>
      </c>
    </row>
    <row r="559" spans="1:14" x14ac:dyDescent="0.25">
      <c r="A559" t="s">
        <v>117</v>
      </c>
      <c r="B559">
        <v>8</v>
      </c>
    </row>
    <row r="564" spans="1:14" x14ac:dyDescent="0.25">
      <c r="A564" s="6" t="s">
        <v>719</v>
      </c>
      <c r="B564" s="6"/>
      <c r="C564" s="6"/>
      <c r="D564" s="6"/>
      <c r="E564" s="6"/>
      <c r="F564" s="6"/>
      <c r="G564" s="6"/>
      <c r="H564" s="6"/>
      <c r="I564" s="6"/>
      <c r="J564" s="6"/>
      <c r="K564" s="6"/>
      <c r="L564" s="6"/>
      <c r="M564" s="6"/>
      <c r="N564" s="6"/>
    </row>
    <row r="565" spans="1:14" x14ac:dyDescent="0.25">
      <c r="A565" s="6" t="s">
        <v>720</v>
      </c>
      <c r="B565" s="6"/>
      <c r="C565" s="6"/>
      <c r="D565" s="6"/>
      <c r="E565" s="6"/>
      <c r="F565" s="6"/>
      <c r="G565" s="6"/>
      <c r="H565" s="6"/>
      <c r="I565" s="6"/>
      <c r="J565" s="6"/>
      <c r="K565" s="6"/>
      <c r="L565" s="6"/>
      <c r="M565" s="6"/>
      <c r="N565" s="6"/>
    </row>
    <row r="566" spans="1:14" x14ac:dyDescent="0.25">
      <c r="A566" s="18" t="s">
        <v>721</v>
      </c>
    </row>
    <row r="568" spans="1:14" x14ac:dyDescent="0.25">
      <c r="A568" t="s">
        <v>725</v>
      </c>
    </row>
    <row r="570" spans="1:14" x14ac:dyDescent="0.25">
      <c r="B570" t="s">
        <v>537</v>
      </c>
    </row>
    <row r="571" spans="1:14" x14ac:dyDescent="0.25">
      <c r="A571" t="s">
        <v>36</v>
      </c>
      <c r="B571" t="s">
        <v>724</v>
      </c>
    </row>
    <row r="575" spans="1:14" x14ac:dyDescent="0.25">
      <c r="A575" s="6" t="s">
        <v>723</v>
      </c>
      <c r="B575" s="6"/>
      <c r="C575" s="6"/>
      <c r="D575" s="6"/>
      <c r="E575" s="6"/>
      <c r="F575" s="6"/>
      <c r="G575" s="6"/>
      <c r="H575" s="6"/>
      <c r="I575" s="6"/>
      <c r="J575" s="6"/>
      <c r="K575" s="6"/>
      <c r="L575" s="6"/>
      <c r="M575" s="6"/>
      <c r="N575" s="6"/>
    </row>
    <row r="576" spans="1:14" x14ac:dyDescent="0.25">
      <c r="A576" s="6" t="s">
        <v>722</v>
      </c>
      <c r="B576" s="6"/>
      <c r="C576" s="6"/>
      <c r="D576" s="6"/>
      <c r="E576" s="6"/>
      <c r="F576" s="6"/>
      <c r="G576" s="6"/>
      <c r="H576" s="6"/>
      <c r="I576" s="6"/>
      <c r="J576" s="6"/>
      <c r="K576" s="6"/>
      <c r="L576" s="6"/>
      <c r="M576" s="6"/>
      <c r="N576" s="6"/>
    </row>
    <row r="579" spans="1:14" x14ac:dyDescent="0.25">
      <c r="B579" t="s">
        <v>537</v>
      </c>
    </row>
    <row r="580" spans="1:14" x14ac:dyDescent="0.25">
      <c r="A580" t="s">
        <v>36</v>
      </c>
      <c r="B580">
        <v>2</v>
      </c>
    </row>
    <row r="583" spans="1:14" x14ac:dyDescent="0.25">
      <c r="A583" s="6" t="s">
        <v>727</v>
      </c>
      <c r="B583" s="6"/>
      <c r="C583" s="6"/>
      <c r="D583" s="6"/>
      <c r="E583" s="6"/>
      <c r="F583" s="6"/>
      <c r="G583" s="6"/>
      <c r="H583" s="6"/>
      <c r="I583" s="6"/>
      <c r="J583" s="6"/>
      <c r="K583" s="6"/>
      <c r="L583" s="6"/>
      <c r="M583" s="6"/>
      <c r="N583" s="6"/>
    </row>
    <row r="584" spans="1:14" x14ac:dyDescent="0.25">
      <c r="A584" s="30" t="s">
        <v>726</v>
      </c>
      <c r="B584" s="6"/>
      <c r="C584" s="6"/>
      <c r="D584" s="6"/>
      <c r="E584" s="6"/>
      <c r="F584" s="6"/>
      <c r="G584" s="6"/>
      <c r="H584" s="6"/>
      <c r="I584" s="6"/>
      <c r="J584" s="6"/>
      <c r="K584" s="6"/>
      <c r="L584" s="6"/>
      <c r="M584" s="6"/>
      <c r="N584" s="6"/>
    </row>
    <row r="585" spans="1:14" x14ac:dyDescent="0.25">
      <c r="A585" s="12" t="s">
        <v>728</v>
      </c>
    </row>
    <row r="587" spans="1:14" x14ac:dyDescent="0.25">
      <c r="A587" t="s">
        <v>729</v>
      </c>
    </row>
    <row r="589" spans="1:14" x14ac:dyDescent="0.25">
      <c r="A589" s="6" t="s">
        <v>731</v>
      </c>
      <c r="B589" s="6"/>
      <c r="C589" s="6"/>
      <c r="D589" s="6"/>
      <c r="E589" s="6"/>
      <c r="F589" s="6"/>
      <c r="G589" s="6"/>
      <c r="H589" s="6"/>
      <c r="I589" s="6"/>
      <c r="J589" s="6"/>
      <c r="K589" s="6"/>
      <c r="L589" s="6"/>
      <c r="M589" s="6"/>
      <c r="N589" s="6"/>
    </row>
    <row r="590" spans="1:14" x14ac:dyDescent="0.25">
      <c r="A590" s="6" t="s">
        <v>730</v>
      </c>
      <c r="B590" s="6"/>
      <c r="C590" s="6"/>
      <c r="D590" s="6"/>
      <c r="E590" s="6"/>
      <c r="F590" s="6"/>
      <c r="G590" s="6"/>
      <c r="H590" s="6"/>
      <c r="I590" s="6"/>
      <c r="J590" s="6"/>
      <c r="K590" s="6"/>
      <c r="L590" s="6"/>
      <c r="M590" s="6"/>
      <c r="N590" s="6"/>
    </row>
    <row r="591" spans="1:14" x14ac:dyDescent="0.25">
      <c r="A591" s="18" t="s">
        <v>732</v>
      </c>
    </row>
    <row r="593" spans="1:1" x14ac:dyDescent="0.25">
      <c r="A593" t="s">
        <v>786</v>
      </c>
    </row>
  </sheetData>
  <mergeCells count="13">
    <mergeCell ref="B438:B439"/>
    <mergeCell ref="C438:C439"/>
    <mergeCell ref="I414:I415"/>
    <mergeCell ref="J414:J415"/>
    <mergeCell ref="K414:K415"/>
    <mergeCell ref="A414:A415"/>
    <mergeCell ref="B414:B415"/>
    <mergeCell ref="C414:C415"/>
    <mergeCell ref="G414:G415"/>
    <mergeCell ref="H414:H415"/>
    <mergeCell ref="D414:D415"/>
    <mergeCell ref="E414:E415"/>
    <mergeCell ref="F414:F415"/>
  </mergeCells>
  <hyperlinks>
    <hyperlink ref="A7" r:id="rId1" xr:uid="{00000000-0004-0000-0100-000000000000}"/>
    <hyperlink ref="A29" r:id="rId2" xr:uid="{00000000-0004-0000-0100-000001000000}"/>
    <hyperlink ref="A47" r:id="rId3" xr:uid="{00000000-0004-0000-0100-000002000000}"/>
    <hyperlink ref="A64" r:id="rId4" xr:uid="{00000000-0004-0000-0100-000003000000}"/>
    <hyperlink ref="A82" r:id="rId5" xr:uid="{00000000-0004-0000-0100-000004000000}"/>
    <hyperlink ref="A101" r:id="rId6" xr:uid="{00000000-0004-0000-0100-000005000000}"/>
    <hyperlink ref="A111" r:id="rId7" xr:uid="{00000000-0004-0000-0100-000006000000}"/>
    <hyperlink ref="A127" r:id="rId8" xr:uid="{00000000-0004-0000-0100-000007000000}"/>
    <hyperlink ref="A150" r:id="rId9" xr:uid="{00000000-0004-0000-0100-000008000000}"/>
    <hyperlink ref="A166" r:id="rId10" location="appsec1" xr:uid="{00000000-0004-0000-0100-000009000000}"/>
    <hyperlink ref="A183" r:id="rId11" xr:uid="{00000000-0004-0000-0100-00000A000000}"/>
    <hyperlink ref="A194" r:id="rId12" xr:uid="{00000000-0004-0000-0100-00000B000000}"/>
    <hyperlink ref="A201" r:id="rId13" xr:uid="{00000000-0004-0000-0100-00000C000000}"/>
    <hyperlink ref="A214" r:id="rId14" xr:uid="{00000000-0004-0000-0100-00000D000000}"/>
    <hyperlink ref="A227" r:id="rId15" xr:uid="{00000000-0004-0000-0100-00000E000000}"/>
    <hyperlink ref="A243" r:id="rId16" xr:uid="{00000000-0004-0000-0100-00000F000000}"/>
    <hyperlink ref="A255" r:id="rId17" xr:uid="{00000000-0004-0000-0100-000010000000}"/>
    <hyperlink ref="A262" r:id="rId18" xr:uid="{00000000-0004-0000-0100-000011000000}"/>
    <hyperlink ref="A269" r:id="rId19" xr:uid="{00000000-0004-0000-0100-000012000000}"/>
    <hyperlink ref="A280" r:id="rId20" xr:uid="{00000000-0004-0000-0100-000013000000}"/>
    <hyperlink ref="A296" r:id="rId21" xr:uid="{00000000-0004-0000-0100-000014000000}"/>
    <hyperlink ref="A320" r:id="rId22" xr:uid="{00000000-0004-0000-0100-000015000000}"/>
    <hyperlink ref="A342" r:id="rId23" xr:uid="{00000000-0004-0000-0100-000016000000}"/>
    <hyperlink ref="A349" r:id="rId24" xr:uid="{00000000-0004-0000-0100-000017000000}"/>
    <hyperlink ref="A370" r:id="rId25" xr:uid="{00000000-0004-0000-0100-000018000000}"/>
    <hyperlink ref="A397" r:id="rId26" xr:uid="{00000000-0004-0000-0100-000019000000}"/>
    <hyperlink ref="A404" r:id="rId27" xr:uid="{00000000-0004-0000-0100-00001A000000}"/>
    <hyperlink ref="A411" r:id="rId28" location="ec0005" xr:uid="{00000000-0004-0000-0100-00001B000000}"/>
    <hyperlink ref="A456" r:id="rId29" location="appsec2" xr:uid="{00000000-0004-0000-0100-00001C000000}"/>
    <hyperlink ref="A486" r:id="rId30" xr:uid="{00000000-0004-0000-0100-00001D000000}"/>
    <hyperlink ref="A466" r:id="rId31" xr:uid="{00000000-0004-0000-0100-00001E000000}"/>
    <hyperlink ref="A503" r:id="rId32" xr:uid="{00000000-0004-0000-0100-00001F000000}"/>
    <hyperlink ref="A519" r:id="rId33" xr:uid="{00000000-0004-0000-0100-000020000000}"/>
    <hyperlink ref="A528" r:id="rId34" xr:uid="{00000000-0004-0000-0100-000021000000}"/>
    <hyperlink ref="A538" r:id="rId35" display="https://econpapers.repec.org/scripts/redir.pf?u=https%3A%2F%2Fdoi.org%2F10.1016%252Fj.enpol.2011.11.018;h=repec:eee:enepol:v:41:y:2012:i:c:p:561-574" xr:uid="{00000000-0004-0000-0100-000022000000}"/>
    <hyperlink ref="A553" r:id="rId36" xr:uid="{00000000-0004-0000-0100-000023000000}"/>
    <hyperlink ref="A566" r:id="rId37" xr:uid="{00000000-0004-0000-0100-000024000000}"/>
    <hyperlink ref="A585" r:id="rId38" xr:uid="{00000000-0004-0000-0100-000025000000}"/>
    <hyperlink ref="A591" r:id="rId39" xr:uid="{00000000-0004-0000-0100-000026000000}"/>
  </hyperlinks>
  <pageMargins left="0.7" right="0.7" top="0.75" bottom="0.75" header="0.3" footer="0.3"/>
  <pageSetup paperSize="9" orientation="portrait" r:id="rId40"/>
  <drawing r:id="rId4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7" tint="0.39997558519241921"/>
  </sheetPr>
  <dimension ref="A1:AB427"/>
  <sheetViews>
    <sheetView topLeftCell="A7" workbookViewId="0">
      <selection activeCell="A28" sqref="A28"/>
    </sheetView>
  </sheetViews>
  <sheetFormatPr defaultRowHeight="15" x14ac:dyDescent="0.25"/>
  <cols>
    <col min="1" max="1" width="14.7109375" customWidth="1"/>
  </cols>
  <sheetData>
    <row r="1" spans="1:28" x14ac:dyDescent="0.25">
      <c r="A1" s="5" t="s">
        <v>5</v>
      </c>
      <c r="B1" s="5"/>
      <c r="C1" s="5"/>
      <c r="D1" s="5"/>
      <c r="E1" s="5"/>
      <c r="F1" s="5"/>
      <c r="G1" s="5"/>
      <c r="H1" s="5"/>
      <c r="I1" s="5"/>
      <c r="J1" s="5"/>
      <c r="K1" s="5"/>
      <c r="AB1" s="80"/>
    </row>
    <row r="2" spans="1:28" x14ac:dyDescent="0.25">
      <c r="A2" s="4" t="s">
        <v>6</v>
      </c>
      <c r="B2" s="4"/>
      <c r="C2" s="4"/>
      <c r="D2" s="4"/>
      <c r="E2" s="4"/>
      <c r="F2" s="4"/>
      <c r="G2" s="4"/>
      <c r="H2" s="4"/>
      <c r="I2" s="4"/>
      <c r="J2" s="4"/>
      <c r="K2" s="4"/>
      <c r="AB2" s="80"/>
    </row>
    <row r="3" spans="1:28" x14ac:dyDescent="0.25">
      <c r="A3" s="7" t="s">
        <v>8</v>
      </c>
      <c r="B3" s="7"/>
      <c r="C3" s="7"/>
      <c r="D3" s="7"/>
      <c r="E3" s="7"/>
      <c r="F3" s="7"/>
      <c r="G3" s="7"/>
      <c r="H3" s="7"/>
      <c r="I3" s="7"/>
      <c r="J3" s="7"/>
      <c r="K3" s="7"/>
      <c r="AB3" s="80"/>
    </row>
    <row r="4" spans="1:28" x14ac:dyDescent="0.25">
      <c r="AB4" s="80"/>
    </row>
    <row r="5" spans="1:28" x14ac:dyDescent="0.25">
      <c r="A5" s="70" t="s">
        <v>640</v>
      </c>
      <c r="B5" s="71"/>
      <c r="C5" s="71"/>
      <c r="D5" s="71"/>
      <c r="E5" s="71"/>
      <c r="F5" s="71"/>
      <c r="G5" s="71"/>
      <c r="H5" s="71"/>
      <c r="I5" s="71"/>
      <c r="J5" s="71"/>
      <c r="K5" s="71"/>
      <c r="L5" s="5"/>
      <c r="M5" s="5"/>
      <c r="N5" s="5"/>
      <c r="AB5" s="81"/>
    </row>
    <row r="6" spans="1:28" x14ac:dyDescent="0.25">
      <c r="A6" s="70" t="s">
        <v>639</v>
      </c>
      <c r="B6" s="71"/>
      <c r="C6" s="71"/>
      <c r="D6" s="71"/>
      <c r="E6" s="71"/>
      <c r="F6" s="71"/>
      <c r="G6" s="71"/>
      <c r="H6" s="71"/>
      <c r="I6" s="71"/>
      <c r="J6" s="71"/>
      <c r="K6" s="71"/>
      <c r="L6" s="5"/>
      <c r="M6" s="5"/>
      <c r="N6" s="5"/>
      <c r="AB6" s="82"/>
    </row>
    <row r="7" spans="1:28" x14ac:dyDescent="0.25">
      <c r="A7" s="18" t="s">
        <v>641</v>
      </c>
      <c r="AB7" s="82"/>
    </row>
    <row r="8" spans="1:28" x14ac:dyDescent="0.25">
      <c r="A8" t="s">
        <v>445</v>
      </c>
      <c r="AB8" s="82"/>
    </row>
    <row r="9" spans="1:28" x14ac:dyDescent="0.25">
      <c r="AB9" s="80"/>
    </row>
    <row r="10" spans="1:28" x14ac:dyDescent="0.25">
      <c r="A10" s="26" t="s">
        <v>537</v>
      </c>
      <c r="AB10" s="80"/>
    </row>
    <row r="11" spans="1:28" x14ac:dyDescent="0.25">
      <c r="A11" s="15" t="s">
        <v>766</v>
      </c>
      <c r="B11" s="15" t="s">
        <v>760</v>
      </c>
      <c r="C11" s="15" t="s">
        <v>761</v>
      </c>
      <c r="D11" s="15" t="s">
        <v>762</v>
      </c>
      <c r="E11" s="15" t="s">
        <v>763</v>
      </c>
      <c r="AB11" s="80"/>
    </row>
    <row r="12" spans="1:28" x14ac:dyDescent="0.25">
      <c r="A12" s="15" t="s">
        <v>91</v>
      </c>
      <c r="B12" s="15">
        <v>80</v>
      </c>
      <c r="C12" s="15"/>
      <c r="D12" s="15"/>
      <c r="E12" s="15"/>
      <c r="AB12" s="80"/>
    </row>
    <row r="13" spans="1:28" x14ac:dyDescent="0.25">
      <c r="A13" s="15" t="s">
        <v>764</v>
      </c>
      <c r="B13" s="15"/>
      <c r="C13" s="15">
        <v>85</v>
      </c>
      <c r="D13" s="15"/>
      <c r="E13" s="15"/>
    </row>
    <row r="14" spans="1:28" x14ac:dyDescent="0.25">
      <c r="A14" s="15" t="s">
        <v>118</v>
      </c>
      <c r="B14" s="15"/>
      <c r="C14" s="15">
        <v>97.5</v>
      </c>
      <c r="D14" s="15"/>
      <c r="E14" s="15"/>
      <c r="AB14" s="80"/>
    </row>
    <row r="15" spans="1:28" x14ac:dyDescent="0.25">
      <c r="A15" s="15" t="s">
        <v>100</v>
      </c>
      <c r="B15" s="15"/>
      <c r="C15" s="15"/>
      <c r="D15" s="15">
        <v>23</v>
      </c>
      <c r="E15" s="15"/>
      <c r="AB15" s="80"/>
    </row>
    <row r="16" spans="1:28" x14ac:dyDescent="0.25">
      <c r="A16" s="15" t="s">
        <v>97</v>
      </c>
      <c r="B16" s="15"/>
      <c r="C16" s="15"/>
      <c r="D16" s="15">
        <v>11</v>
      </c>
      <c r="E16" s="15"/>
      <c r="AB16" s="80"/>
    </row>
    <row r="17" spans="1:28" x14ac:dyDescent="0.25">
      <c r="A17" s="15" t="s">
        <v>765</v>
      </c>
      <c r="B17" s="15"/>
      <c r="C17" s="15"/>
      <c r="D17" s="15">
        <v>6</v>
      </c>
      <c r="E17" s="15"/>
    </row>
    <row r="18" spans="1:28" x14ac:dyDescent="0.25">
      <c r="A18" s="15" t="s">
        <v>99</v>
      </c>
      <c r="B18" s="15"/>
      <c r="C18" s="15"/>
      <c r="D18" s="15"/>
      <c r="E18" s="15">
        <v>73</v>
      </c>
      <c r="AB18" s="80"/>
    </row>
    <row r="19" spans="1:28" x14ac:dyDescent="0.25">
      <c r="AB19" s="80"/>
    </row>
    <row r="20" spans="1:28" x14ac:dyDescent="0.25">
      <c r="AB20" s="80"/>
    </row>
    <row r="22" spans="1:28" x14ac:dyDescent="0.25">
      <c r="AB22" s="80"/>
    </row>
    <row r="23" spans="1:28" x14ac:dyDescent="0.25">
      <c r="AB23" s="80"/>
    </row>
    <row r="24" spans="1:28" x14ac:dyDescent="0.25">
      <c r="AB24" s="80"/>
    </row>
    <row r="25" spans="1:28" x14ac:dyDescent="0.25">
      <c r="AB25" s="80"/>
    </row>
    <row r="26" spans="1:28" x14ac:dyDescent="0.25">
      <c r="AB26" s="80"/>
    </row>
    <row r="27" spans="1:28" x14ac:dyDescent="0.25">
      <c r="AB27" s="80"/>
    </row>
    <row r="28" spans="1:28" x14ac:dyDescent="0.25">
      <c r="A28" s="79" t="s">
        <v>768</v>
      </c>
      <c r="B28" s="6"/>
      <c r="C28" s="6"/>
      <c r="D28" s="6"/>
      <c r="E28" s="6"/>
      <c r="F28" s="6"/>
      <c r="G28" s="6"/>
      <c r="H28" s="6"/>
      <c r="I28" s="6"/>
      <c r="J28" s="6"/>
      <c r="K28" s="6"/>
      <c r="L28" s="6"/>
      <c r="M28" s="6"/>
      <c r="N28" s="6"/>
      <c r="AB28" s="80"/>
    </row>
    <row r="29" spans="1:28" x14ac:dyDescent="0.25">
      <c r="A29" s="6" t="s">
        <v>767</v>
      </c>
      <c r="B29" s="6"/>
      <c r="C29" s="6"/>
      <c r="D29" s="6"/>
      <c r="E29" s="6"/>
      <c r="F29" s="6"/>
      <c r="G29" s="6"/>
      <c r="H29" s="6"/>
      <c r="I29" s="6"/>
      <c r="J29" s="6"/>
      <c r="K29" s="6"/>
      <c r="L29" s="6"/>
      <c r="M29" s="6"/>
      <c r="N29" s="6"/>
      <c r="AB29" s="80"/>
    </row>
    <row r="30" spans="1:28" x14ac:dyDescent="0.25">
      <c r="A30" s="18" t="s">
        <v>770</v>
      </c>
      <c r="AB30" s="80"/>
    </row>
    <row r="31" spans="1:28" x14ac:dyDescent="0.25">
      <c r="AB31" s="80"/>
    </row>
    <row r="32" spans="1:28" x14ac:dyDescent="0.25">
      <c r="A32" t="s">
        <v>769</v>
      </c>
      <c r="AB32" s="80"/>
    </row>
    <row r="33" spans="1:28" x14ac:dyDescent="0.25">
      <c r="AB33" s="80"/>
    </row>
    <row r="34" spans="1:28" x14ac:dyDescent="0.25">
      <c r="A34" s="6" t="s">
        <v>648</v>
      </c>
      <c r="B34" s="6"/>
      <c r="C34" s="6"/>
      <c r="D34" s="6"/>
      <c r="E34" s="6"/>
      <c r="F34" s="6"/>
      <c r="G34" s="6"/>
      <c r="H34" s="6"/>
      <c r="I34" s="6"/>
      <c r="J34" s="6"/>
      <c r="K34" s="6"/>
      <c r="L34" s="6"/>
      <c r="M34" s="6"/>
      <c r="N34" s="6"/>
      <c r="AB34" s="80"/>
    </row>
    <row r="35" spans="1:28" x14ac:dyDescent="0.25">
      <c r="A35" s="30" t="s">
        <v>404</v>
      </c>
      <c r="B35" s="6"/>
      <c r="C35" s="6"/>
      <c r="D35" s="6"/>
      <c r="E35" s="6"/>
      <c r="F35" s="6"/>
      <c r="G35" s="6"/>
      <c r="H35" s="6"/>
      <c r="I35" s="6"/>
      <c r="J35" s="6"/>
      <c r="K35" s="6"/>
      <c r="L35" s="6"/>
      <c r="M35" s="6"/>
      <c r="N35" s="6"/>
      <c r="AB35" s="80"/>
    </row>
    <row r="36" spans="1:28" x14ac:dyDescent="0.25">
      <c r="A36" s="18" t="s">
        <v>413</v>
      </c>
      <c r="AB36" s="80"/>
    </row>
    <row r="37" spans="1:28" x14ac:dyDescent="0.25">
      <c r="AB37" s="80"/>
    </row>
    <row r="38" spans="1:28" x14ac:dyDescent="0.25">
      <c r="A38" t="s">
        <v>649</v>
      </c>
      <c r="AB38" s="80"/>
    </row>
    <row r="39" spans="1:28" x14ac:dyDescent="0.25">
      <c r="AB39" s="80"/>
    </row>
    <row r="40" spans="1:28" x14ac:dyDescent="0.25">
      <c r="AB40" s="80"/>
    </row>
    <row r="41" spans="1:28" x14ac:dyDescent="0.25">
      <c r="A41" s="5" t="s">
        <v>558</v>
      </c>
      <c r="B41" s="5"/>
      <c r="C41" s="5"/>
      <c r="D41" s="5"/>
      <c r="E41" s="5"/>
      <c r="F41" s="5"/>
      <c r="G41" s="5"/>
      <c r="H41" s="5"/>
      <c r="I41" s="5"/>
      <c r="J41" s="5"/>
      <c r="K41" s="5"/>
      <c r="L41" s="5"/>
      <c r="M41" s="5"/>
      <c r="N41" s="5"/>
      <c r="AB41" s="80"/>
    </row>
    <row r="42" spans="1:28" x14ac:dyDescent="0.25">
      <c r="A42" s="29" t="s">
        <v>557</v>
      </c>
      <c r="B42" s="5"/>
      <c r="C42" s="5"/>
      <c r="D42" s="5"/>
      <c r="E42" s="5"/>
      <c r="F42" s="5"/>
      <c r="G42" s="5"/>
      <c r="H42" s="5"/>
      <c r="I42" s="5"/>
      <c r="J42" s="5"/>
      <c r="K42" s="5"/>
      <c r="L42" s="5"/>
      <c r="M42" s="5"/>
      <c r="N42" s="5"/>
      <c r="AB42" s="80"/>
    </row>
    <row r="43" spans="1:28" x14ac:dyDescent="0.25">
      <c r="A43" s="18" t="s">
        <v>559</v>
      </c>
      <c r="AB43" s="80"/>
    </row>
    <row r="44" spans="1:28" x14ac:dyDescent="0.25">
      <c r="A44" t="s">
        <v>773</v>
      </c>
      <c r="AB44" s="80"/>
    </row>
    <row r="45" spans="1:28" x14ac:dyDescent="0.25">
      <c r="AB45" s="80"/>
    </row>
    <row r="46" spans="1:28" x14ac:dyDescent="0.25">
      <c r="AB46" s="80"/>
    </row>
    <row r="47" spans="1:28" x14ac:dyDescent="0.25">
      <c r="A47" s="26" t="s">
        <v>774</v>
      </c>
      <c r="AB47" s="80"/>
    </row>
    <row r="48" spans="1:28" x14ac:dyDescent="0.25">
      <c r="B48" t="s">
        <v>760</v>
      </c>
      <c r="C48" t="s">
        <v>763</v>
      </c>
      <c r="D48" t="s">
        <v>762</v>
      </c>
      <c r="E48" t="s">
        <v>761</v>
      </c>
      <c r="AB48" s="80"/>
    </row>
    <row r="49" spans="1:28" x14ac:dyDescent="0.25">
      <c r="A49" t="s">
        <v>353</v>
      </c>
      <c r="B49">
        <v>2741</v>
      </c>
      <c r="D49">
        <v>21.02</v>
      </c>
      <c r="AB49" s="80"/>
    </row>
    <row r="50" spans="1:28" x14ac:dyDescent="0.25">
      <c r="A50" t="s">
        <v>91</v>
      </c>
      <c r="B50">
        <v>24</v>
      </c>
      <c r="AB50" s="80"/>
    </row>
    <row r="51" spans="1:28" x14ac:dyDescent="0.25">
      <c r="A51" t="s">
        <v>114</v>
      </c>
      <c r="B51">
        <v>577</v>
      </c>
      <c r="C51">
        <v>5.32</v>
      </c>
      <c r="D51">
        <v>5.95</v>
      </c>
      <c r="E51">
        <v>21.4</v>
      </c>
      <c r="AB51" s="80"/>
    </row>
    <row r="52" spans="1:28" x14ac:dyDescent="0.25">
      <c r="A52" t="s">
        <v>356</v>
      </c>
      <c r="B52">
        <v>336</v>
      </c>
      <c r="AB52" s="80"/>
    </row>
    <row r="53" spans="1:28" x14ac:dyDescent="0.25">
      <c r="A53" t="s">
        <v>100</v>
      </c>
      <c r="C53">
        <v>0.71399999999999997</v>
      </c>
      <c r="D53">
        <f>18.99+44.29</f>
        <v>63.28</v>
      </c>
      <c r="E53">
        <v>15.9</v>
      </c>
    </row>
    <row r="54" spans="1:28" x14ac:dyDescent="0.25">
      <c r="A54" t="s">
        <v>97</v>
      </c>
      <c r="D54">
        <v>2.3199999999999998</v>
      </c>
      <c r="AB54" s="83"/>
    </row>
    <row r="55" spans="1:28" x14ac:dyDescent="0.25">
      <c r="A55" t="s">
        <v>765</v>
      </c>
      <c r="D55">
        <v>9.56</v>
      </c>
      <c r="AB55" s="83"/>
    </row>
    <row r="56" spans="1:28" x14ac:dyDescent="0.25">
      <c r="A56" t="s">
        <v>118</v>
      </c>
      <c r="E56">
        <v>93.3</v>
      </c>
      <c r="AB56" s="83"/>
    </row>
    <row r="57" spans="1:28" x14ac:dyDescent="0.25">
      <c r="AB57" s="83"/>
    </row>
    <row r="58" spans="1:28" x14ac:dyDescent="0.25">
      <c r="AB58" s="83"/>
    </row>
    <row r="59" spans="1:28" x14ac:dyDescent="0.25">
      <c r="AB59" s="83"/>
    </row>
    <row r="60" spans="1:28" x14ac:dyDescent="0.25">
      <c r="AB60" s="83"/>
    </row>
    <row r="61" spans="1:28" x14ac:dyDescent="0.25">
      <c r="AB61" s="83"/>
    </row>
    <row r="62" spans="1:28" x14ac:dyDescent="0.25">
      <c r="AB62" s="83"/>
    </row>
    <row r="63" spans="1:28" x14ac:dyDescent="0.25">
      <c r="AB63" s="83"/>
    </row>
    <row r="64" spans="1:28" x14ac:dyDescent="0.25">
      <c r="AB64" s="83"/>
    </row>
    <row r="65" spans="28:28" x14ac:dyDescent="0.25">
      <c r="AB65" s="83"/>
    </row>
    <row r="66" spans="28:28" x14ac:dyDescent="0.25">
      <c r="AB66" s="83"/>
    </row>
    <row r="67" spans="28:28" x14ac:dyDescent="0.25">
      <c r="AB67" s="83"/>
    </row>
    <row r="68" spans="28:28" x14ac:dyDescent="0.25">
      <c r="AB68" s="83"/>
    </row>
    <row r="70" spans="28:28" x14ac:dyDescent="0.25">
      <c r="AB70" s="83"/>
    </row>
    <row r="71" spans="28:28" x14ac:dyDescent="0.25">
      <c r="AB71" s="83"/>
    </row>
    <row r="72" spans="28:28" x14ac:dyDescent="0.25">
      <c r="AB72" s="83"/>
    </row>
    <row r="73" spans="28:28" x14ac:dyDescent="0.25">
      <c r="AB73" s="83"/>
    </row>
    <row r="74" spans="28:28" x14ac:dyDescent="0.25">
      <c r="AB74" s="83"/>
    </row>
    <row r="75" spans="28:28" x14ac:dyDescent="0.25">
      <c r="AB75" s="83"/>
    </row>
    <row r="76" spans="28:28" x14ac:dyDescent="0.25">
      <c r="AB76" s="83"/>
    </row>
    <row r="77" spans="28:28" x14ac:dyDescent="0.25">
      <c r="AB77" s="83"/>
    </row>
    <row r="78" spans="28:28" x14ac:dyDescent="0.25">
      <c r="AB78" s="83"/>
    </row>
    <row r="79" spans="28:28" x14ac:dyDescent="0.25">
      <c r="AB79" s="83"/>
    </row>
    <row r="80" spans="28:28" x14ac:dyDescent="0.25">
      <c r="AB80" s="83"/>
    </row>
    <row r="81" spans="1:28" x14ac:dyDescent="0.25">
      <c r="AB81" s="83"/>
    </row>
    <row r="82" spans="1:28" x14ac:dyDescent="0.25">
      <c r="AB82" s="83"/>
    </row>
    <row r="83" spans="1:28" x14ac:dyDescent="0.25">
      <c r="A83" s="5" t="s">
        <v>775</v>
      </c>
      <c r="B83" s="5"/>
      <c r="C83" s="5"/>
      <c r="D83" s="5"/>
      <c r="E83" s="5"/>
      <c r="F83" s="5"/>
      <c r="G83" s="5"/>
      <c r="H83" s="5"/>
      <c r="I83" s="5"/>
      <c r="J83" s="5"/>
      <c r="K83" s="5"/>
      <c r="L83" s="5"/>
      <c r="M83" s="5"/>
      <c r="N83" s="5"/>
      <c r="AB83" s="83"/>
    </row>
    <row r="84" spans="1:28" x14ac:dyDescent="0.25">
      <c r="A84" s="5" t="s">
        <v>776</v>
      </c>
      <c r="B84" s="5"/>
      <c r="C84" s="5"/>
      <c r="D84" s="5"/>
      <c r="E84" s="5"/>
      <c r="F84" s="5"/>
      <c r="G84" s="5"/>
      <c r="H84" s="5"/>
      <c r="I84" s="5"/>
      <c r="J84" s="5"/>
      <c r="K84" s="5"/>
      <c r="L84" s="5"/>
      <c r="M84" s="5"/>
      <c r="N84" s="5"/>
      <c r="AB84" s="83"/>
    </row>
    <row r="85" spans="1:28" x14ac:dyDescent="0.25">
      <c r="A85" s="18" t="s">
        <v>777</v>
      </c>
      <c r="AB85" s="83"/>
    </row>
    <row r="86" spans="1:28" x14ac:dyDescent="0.25">
      <c r="A86" t="s">
        <v>575</v>
      </c>
      <c r="AB86" s="83"/>
    </row>
    <row r="87" spans="1:28" x14ac:dyDescent="0.25">
      <c r="AB87" s="83"/>
    </row>
    <row r="88" spans="1:28" x14ac:dyDescent="0.25">
      <c r="A88" s="26" t="s">
        <v>537</v>
      </c>
      <c r="AB88" s="83"/>
    </row>
    <row r="89" spans="1:28" x14ac:dyDescent="0.25">
      <c r="B89" t="s">
        <v>760</v>
      </c>
    </row>
    <row r="90" spans="1:28" x14ac:dyDescent="0.25">
      <c r="A90" t="s">
        <v>91</v>
      </c>
      <c r="B90">
        <f>8.77/0.16</f>
        <v>54.812499999999993</v>
      </c>
    </row>
    <row r="103" spans="1:28" x14ac:dyDescent="0.25">
      <c r="A103" s="5" t="s">
        <v>779</v>
      </c>
      <c r="B103" s="5"/>
      <c r="C103" s="5"/>
      <c r="D103" s="5"/>
      <c r="E103" s="5"/>
      <c r="F103" s="5"/>
      <c r="G103" s="5"/>
      <c r="H103" s="5"/>
      <c r="I103" s="5"/>
      <c r="J103" s="5"/>
      <c r="K103" s="5"/>
      <c r="L103" s="5"/>
      <c r="M103" s="5"/>
      <c r="N103" s="5"/>
      <c r="AB103" s="83"/>
    </row>
    <row r="104" spans="1:28" x14ac:dyDescent="0.25">
      <c r="A104" s="5" t="s">
        <v>778</v>
      </c>
      <c r="B104" s="5"/>
      <c r="C104" s="5"/>
      <c r="D104" s="5"/>
      <c r="E104" s="5"/>
      <c r="F104" s="5"/>
      <c r="G104" s="5"/>
      <c r="H104" s="5"/>
      <c r="I104" s="5"/>
      <c r="J104" s="5"/>
      <c r="K104" s="5"/>
      <c r="L104" s="5"/>
      <c r="M104" s="5"/>
      <c r="N104" s="5"/>
      <c r="AB104" s="83"/>
    </row>
    <row r="105" spans="1:28" x14ac:dyDescent="0.25">
      <c r="A105" s="18" t="s">
        <v>780</v>
      </c>
    </row>
    <row r="106" spans="1:28" x14ac:dyDescent="0.25">
      <c r="A106" t="s">
        <v>445</v>
      </c>
    </row>
    <row r="108" spans="1:28" x14ac:dyDescent="0.25">
      <c r="A108" s="26" t="s">
        <v>537</v>
      </c>
    </row>
    <row r="109" spans="1:28" x14ac:dyDescent="0.25">
      <c r="A109" s="15"/>
      <c r="B109" s="15" t="s">
        <v>762</v>
      </c>
      <c r="C109" s="15" t="s">
        <v>761</v>
      </c>
      <c r="D109" s="15" t="s">
        <v>760</v>
      </c>
      <c r="U109">
        <v>12</v>
      </c>
      <c r="V109" t="s">
        <v>781</v>
      </c>
    </row>
    <row r="110" spans="1:28" x14ac:dyDescent="0.25">
      <c r="A110" s="15" t="s">
        <v>100</v>
      </c>
      <c r="B110" s="15">
        <v>23</v>
      </c>
      <c r="C110" s="15"/>
      <c r="D110" s="15"/>
      <c r="U110">
        <v>36</v>
      </c>
      <c r="V110" t="s">
        <v>782</v>
      </c>
    </row>
    <row r="111" spans="1:28" x14ac:dyDescent="0.25">
      <c r="A111" s="15" t="s">
        <v>97</v>
      </c>
      <c r="B111" s="15">
        <v>7.5</v>
      </c>
      <c r="C111" s="15"/>
      <c r="D111" s="15"/>
      <c r="U111">
        <v>75</v>
      </c>
      <c r="V111" t="s">
        <v>783</v>
      </c>
    </row>
    <row r="112" spans="1:28" x14ac:dyDescent="0.25">
      <c r="A112" s="15" t="s">
        <v>765</v>
      </c>
      <c r="B112" s="15">
        <v>45</v>
      </c>
      <c r="C112" s="15"/>
      <c r="D112" s="15"/>
      <c r="U112">
        <v>76</v>
      </c>
      <c r="V112" t="s">
        <v>784</v>
      </c>
    </row>
    <row r="113" spans="1:14" x14ac:dyDescent="0.25">
      <c r="A113" s="15" t="s">
        <v>118</v>
      </c>
      <c r="B113" s="15"/>
      <c r="C113" s="15">
        <v>97.5</v>
      </c>
      <c r="D113" s="15"/>
    </row>
    <row r="114" spans="1:14" x14ac:dyDescent="0.25">
      <c r="A114" s="15" t="s">
        <v>764</v>
      </c>
      <c r="B114" s="15"/>
      <c r="C114" s="15">
        <v>85</v>
      </c>
      <c r="D114" s="15"/>
    </row>
    <row r="115" spans="1:14" x14ac:dyDescent="0.25">
      <c r="A115" t="s">
        <v>91</v>
      </c>
      <c r="B115">
        <v>80</v>
      </c>
      <c r="C115">
        <v>80</v>
      </c>
      <c r="D115">
        <v>80</v>
      </c>
    </row>
    <row r="116" spans="1:14" x14ac:dyDescent="0.25">
      <c r="A116" t="s">
        <v>348</v>
      </c>
      <c r="B116">
        <v>32000</v>
      </c>
      <c r="C116">
        <v>32000</v>
      </c>
      <c r="D116">
        <v>32000</v>
      </c>
    </row>
    <row r="117" spans="1:14" x14ac:dyDescent="0.25">
      <c r="A117" t="s">
        <v>353</v>
      </c>
    </row>
    <row r="123" spans="1:14" x14ac:dyDescent="0.25">
      <c r="A123" s="92" t="s">
        <v>698</v>
      </c>
      <c r="B123" s="6"/>
      <c r="C123" s="6"/>
      <c r="D123" s="6"/>
      <c r="E123" s="6"/>
      <c r="F123" s="6"/>
      <c r="G123" s="6"/>
      <c r="H123" s="6"/>
      <c r="I123" s="6"/>
      <c r="J123" s="6"/>
      <c r="K123" s="6"/>
      <c r="L123" s="6"/>
      <c r="M123" s="6"/>
      <c r="N123" s="6"/>
    </row>
    <row r="124" spans="1:14" x14ac:dyDescent="0.25">
      <c r="A124" s="6" t="s">
        <v>785</v>
      </c>
      <c r="B124" s="6"/>
      <c r="C124" s="6"/>
      <c r="D124" s="6"/>
      <c r="E124" s="6"/>
      <c r="F124" s="6"/>
      <c r="G124" s="6"/>
      <c r="H124" s="6"/>
      <c r="I124" s="6"/>
      <c r="J124" s="6"/>
      <c r="K124" s="6"/>
      <c r="L124" s="6"/>
      <c r="M124" s="6"/>
      <c r="N124" s="6"/>
    </row>
    <row r="125" spans="1:14" x14ac:dyDescent="0.25">
      <c r="A125" s="18" t="s">
        <v>702</v>
      </c>
    </row>
    <row r="128" spans="1:14" x14ac:dyDescent="0.25">
      <c r="A128" t="s">
        <v>828</v>
      </c>
    </row>
    <row r="135" spans="1:18" x14ac:dyDescent="0.25">
      <c r="A135" s="5" t="s">
        <v>596</v>
      </c>
      <c r="B135" s="5"/>
      <c r="C135" s="5"/>
      <c r="D135" s="5"/>
      <c r="E135" s="5"/>
      <c r="F135" s="5"/>
      <c r="G135" s="5"/>
      <c r="H135" s="5"/>
      <c r="I135" s="5"/>
      <c r="J135" s="5"/>
      <c r="K135" s="5"/>
      <c r="L135" s="5"/>
      <c r="M135" s="5"/>
      <c r="N135" s="5"/>
      <c r="O135" s="5"/>
      <c r="P135" s="5"/>
      <c r="Q135" s="5"/>
      <c r="R135" s="5"/>
    </row>
    <row r="136" spans="1:18" x14ac:dyDescent="0.25">
      <c r="A136" s="5" t="s">
        <v>787</v>
      </c>
      <c r="B136" s="5"/>
      <c r="C136" s="5"/>
      <c r="D136" s="5"/>
      <c r="E136" s="5"/>
      <c r="F136" s="5"/>
      <c r="G136" s="5"/>
      <c r="H136" s="5"/>
      <c r="I136" s="5"/>
      <c r="J136" s="5"/>
      <c r="K136" s="5"/>
      <c r="L136" s="5"/>
      <c r="M136" s="5"/>
      <c r="N136" s="5"/>
      <c r="O136" s="5"/>
      <c r="P136" s="5"/>
      <c r="Q136" s="5"/>
      <c r="R136" s="5"/>
    </row>
    <row r="137" spans="1:18" x14ac:dyDescent="0.25">
      <c r="A137" s="18" t="s">
        <v>788</v>
      </c>
    </row>
    <row r="140" spans="1:18" x14ac:dyDescent="0.25">
      <c r="A140" s="15" t="s">
        <v>537</v>
      </c>
      <c r="B140" s="15"/>
      <c r="C140" s="15"/>
      <c r="D140" s="15"/>
      <c r="E140" s="15"/>
    </row>
    <row r="141" spans="1:18" x14ac:dyDescent="0.25">
      <c r="A141" s="15"/>
      <c r="B141" s="15" t="s">
        <v>760</v>
      </c>
      <c r="C141" s="15" t="s">
        <v>761</v>
      </c>
      <c r="D141" s="15" t="s">
        <v>762</v>
      </c>
      <c r="E141" s="15" t="s">
        <v>789</v>
      </c>
    </row>
    <row r="142" spans="1:18" x14ac:dyDescent="0.25">
      <c r="A142" s="15" t="s">
        <v>91</v>
      </c>
      <c r="B142" s="15">
        <f>AVERAGE(84,18,84,15,84,13)</f>
        <v>49.666666666666664</v>
      </c>
      <c r="C142" s="15"/>
      <c r="D142" s="15"/>
      <c r="E142" s="15"/>
    </row>
    <row r="143" spans="1:18" x14ac:dyDescent="0.25">
      <c r="A143" s="15" t="s">
        <v>764</v>
      </c>
      <c r="B143" s="15"/>
      <c r="C143" s="15">
        <f>AVERAGE(116,77,89,36,79,21)</f>
        <v>69.666666666666671</v>
      </c>
      <c r="D143" s="15"/>
      <c r="E143" s="15"/>
    </row>
    <row r="144" spans="1:18" x14ac:dyDescent="0.25">
      <c r="A144" s="15" t="s">
        <v>118</v>
      </c>
      <c r="B144" s="15"/>
      <c r="C144" s="15">
        <f>AVERAGE(132,87,101,41,89,23)</f>
        <v>78.833333333333329</v>
      </c>
      <c r="D144" s="15"/>
      <c r="E144" s="15"/>
    </row>
    <row r="145" spans="1:14" x14ac:dyDescent="0.25">
      <c r="A145" s="15" t="s">
        <v>100</v>
      </c>
      <c r="B145" s="15"/>
      <c r="C145" s="15"/>
      <c r="D145" s="15">
        <f>AVERAGE(43,22,29,12,23,8)</f>
        <v>22.833333333333332</v>
      </c>
      <c r="E145" s="15"/>
    </row>
    <row r="146" spans="1:14" x14ac:dyDescent="0.25">
      <c r="A146" s="15" t="s">
        <v>97</v>
      </c>
      <c r="B146" s="15"/>
      <c r="C146" s="15"/>
      <c r="D146" s="15">
        <f>AVERAGE(11,6,3,8,6,2)</f>
        <v>6</v>
      </c>
      <c r="E146" s="15"/>
    </row>
    <row r="147" spans="1:14" x14ac:dyDescent="0.25">
      <c r="A147" s="15" t="s">
        <v>765</v>
      </c>
      <c r="B147" s="15"/>
      <c r="C147" s="15"/>
      <c r="D147" s="15">
        <f>AVERAGE(107,51,67,26,48,15)</f>
        <v>52.333333333333336</v>
      </c>
      <c r="E147" s="15"/>
    </row>
    <row r="148" spans="1:14" x14ac:dyDescent="0.25">
      <c r="A148" s="15" t="s">
        <v>99</v>
      </c>
      <c r="B148" s="15"/>
      <c r="C148" s="15"/>
      <c r="D148" s="15"/>
      <c r="E148" s="15">
        <f>AVERAGE(73,48,73,41,73,36)</f>
        <v>57.333333333333336</v>
      </c>
    </row>
    <row r="156" spans="1:14" x14ac:dyDescent="0.25">
      <c r="A156" s="64" t="s">
        <v>626</v>
      </c>
      <c r="B156" s="63"/>
      <c r="C156" s="63"/>
      <c r="D156" s="63"/>
      <c r="E156" s="63"/>
      <c r="F156" s="63"/>
      <c r="G156" s="63"/>
      <c r="H156" s="63"/>
      <c r="I156" s="63"/>
      <c r="J156" s="63"/>
      <c r="K156" s="63"/>
      <c r="L156" s="6"/>
      <c r="M156" s="6"/>
      <c r="N156" s="6"/>
    </row>
    <row r="157" spans="1:14" x14ac:dyDescent="0.25">
      <c r="A157" s="64" t="s">
        <v>625</v>
      </c>
      <c r="B157" s="63"/>
      <c r="C157" s="63"/>
      <c r="D157" s="63"/>
      <c r="E157" s="63"/>
      <c r="F157" s="63"/>
      <c r="G157" s="63"/>
      <c r="H157" s="63"/>
      <c r="I157" s="63"/>
      <c r="J157" s="63"/>
      <c r="K157" s="63"/>
      <c r="L157" s="6"/>
      <c r="M157" s="6"/>
      <c r="N157" s="6"/>
    </row>
    <row r="158" spans="1:14" x14ac:dyDescent="0.25">
      <c r="A158" s="18" t="s">
        <v>627</v>
      </c>
    </row>
    <row r="159" spans="1:14" x14ac:dyDescent="0.25">
      <c r="A159" t="s">
        <v>790</v>
      </c>
    </row>
    <row r="162" spans="1:14" x14ac:dyDescent="0.25">
      <c r="A162" t="s">
        <v>791</v>
      </c>
    </row>
    <row r="169" spans="1:14" x14ac:dyDescent="0.25">
      <c r="A169" s="5" t="s">
        <v>792</v>
      </c>
      <c r="B169" s="5"/>
      <c r="C169" s="5"/>
      <c r="D169" s="5"/>
      <c r="E169" s="5"/>
      <c r="F169" s="5"/>
      <c r="G169" s="5"/>
      <c r="H169" s="5"/>
      <c r="I169" s="5"/>
      <c r="J169" s="5"/>
      <c r="K169" s="5"/>
      <c r="L169" s="5"/>
      <c r="M169" s="5"/>
      <c r="N169" s="5"/>
    </row>
    <row r="170" spans="1:14" x14ac:dyDescent="0.25">
      <c r="A170" s="5" t="s">
        <v>793</v>
      </c>
      <c r="B170" s="5"/>
      <c r="C170" s="5"/>
      <c r="D170" s="5"/>
      <c r="E170" s="5"/>
      <c r="F170" s="5"/>
      <c r="G170" s="5"/>
      <c r="H170" s="5"/>
      <c r="I170" s="5"/>
      <c r="J170" s="5"/>
      <c r="K170" s="5"/>
      <c r="L170" s="5"/>
      <c r="M170" s="5"/>
      <c r="N170" s="5"/>
    </row>
    <row r="171" spans="1:14" x14ac:dyDescent="0.25">
      <c r="A171" s="18" t="s">
        <v>794</v>
      </c>
    </row>
    <row r="172" spans="1:14" x14ac:dyDescent="0.25">
      <c r="A172" t="s">
        <v>795</v>
      </c>
    </row>
    <row r="174" spans="1:14" x14ac:dyDescent="0.25">
      <c r="A174" s="15" t="s">
        <v>537</v>
      </c>
      <c r="B174" s="15"/>
      <c r="C174" s="15"/>
      <c r="D174" s="15"/>
      <c r="E174" s="15"/>
    </row>
    <row r="175" spans="1:14" x14ac:dyDescent="0.25">
      <c r="A175" s="15"/>
      <c r="B175" s="15" t="s">
        <v>760</v>
      </c>
      <c r="C175" s="15" t="s">
        <v>763</v>
      </c>
      <c r="D175" s="15" t="s">
        <v>761</v>
      </c>
      <c r="E175" s="15" t="s">
        <v>801</v>
      </c>
    </row>
    <row r="176" spans="1:14" x14ac:dyDescent="0.25">
      <c r="A176" s="15" t="s">
        <v>91</v>
      </c>
      <c r="B176" s="15">
        <v>5.17</v>
      </c>
      <c r="C176" s="15"/>
      <c r="D176" s="15"/>
      <c r="E176" s="15"/>
    </row>
    <row r="177" spans="1:5" x14ac:dyDescent="0.25">
      <c r="A177" s="15" t="s">
        <v>348</v>
      </c>
      <c r="B177" s="15"/>
      <c r="C177" s="15">
        <v>102</v>
      </c>
      <c r="D177" s="15"/>
      <c r="E177" s="15"/>
    </row>
    <row r="178" spans="1:5" x14ac:dyDescent="0.25">
      <c r="A178" s="15" t="s">
        <v>796</v>
      </c>
      <c r="B178" s="15"/>
      <c r="C178" s="15"/>
      <c r="D178" s="15"/>
      <c r="E178" s="15"/>
    </row>
    <row r="179" spans="1:5" x14ac:dyDescent="0.25">
      <c r="A179" s="15" t="s">
        <v>92</v>
      </c>
      <c r="B179" s="15"/>
      <c r="C179" s="15"/>
      <c r="D179" s="15"/>
      <c r="E179" s="15"/>
    </row>
    <row r="180" spans="1:5" x14ac:dyDescent="0.25">
      <c r="A180" s="15" t="s">
        <v>454</v>
      </c>
      <c r="B180" s="15"/>
      <c r="C180" s="15">
        <v>8.0000000000000004E-4</v>
      </c>
      <c r="D180" s="15"/>
      <c r="E180" s="15"/>
    </row>
    <row r="181" spans="1:5" x14ac:dyDescent="0.25">
      <c r="A181" s="15" t="s">
        <v>797</v>
      </c>
      <c r="B181" s="15"/>
      <c r="C181" s="15"/>
      <c r="D181" s="15"/>
      <c r="E181" s="15"/>
    </row>
    <row r="182" spans="1:5" x14ac:dyDescent="0.25">
      <c r="A182" s="15" t="s">
        <v>764</v>
      </c>
      <c r="B182" s="15"/>
      <c r="C182" s="15"/>
      <c r="D182" s="15">
        <v>83.51</v>
      </c>
      <c r="E182" s="15">
        <v>0.93</v>
      </c>
    </row>
    <row r="183" spans="1:5" x14ac:dyDescent="0.25">
      <c r="A183" s="15" t="s">
        <v>94</v>
      </c>
      <c r="B183" s="15"/>
      <c r="C183" s="15"/>
      <c r="D183" s="15"/>
      <c r="E183" s="15"/>
    </row>
    <row r="184" spans="1:5" x14ac:dyDescent="0.25">
      <c r="A184" s="15" t="s">
        <v>95</v>
      </c>
      <c r="B184" s="15"/>
      <c r="C184" s="15"/>
      <c r="D184" s="15"/>
      <c r="E184" s="15"/>
    </row>
    <row r="185" spans="1:5" x14ac:dyDescent="0.25">
      <c r="A185" s="15" t="s">
        <v>349</v>
      </c>
      <c r="B185" s="15"/>
      <c r="C185" s="15"/>
      <c r="D185" s="15"/>
      <c r="E185" s="15"/>
    </row>
    <row r="186" spans="1:5" x14ac:dyDescent="0.25">
      <c r="A186" s="15" t="s">
        <v>353</v>
      </c>
      <c r="B186" s="15">
        <v>589.38</v>
      </c>
      <c r="C186" s="15"/>
      <c r="D186" s="15">
        <v>24.41</v>
      </c>
      <c r="E186" s="15">
        <v>16.97</v>
      </c>
    </row>
    <row r="187" spans="1:5" x14ac:dyDescent="0.25">
      <c r="A187" s="15" t="s">
        <v>97</v>
      </c>
      <c r="B187" s="15"/>
      <c r="C187" s="15"/>
      <c r="D187" s="15"/>
      <c r="E187" s="15">
        <v>6.17</v>
      </c>
    </row>
    <row r="188" spans="1:5" x14ac:dyDescent="0.25">
      <c r="A188" s="15" t="s">
        <v>99</v>
      </c>
      <c r="B188" s="15"/>
      <c r="C188" s="15"/>
      <c r="D188" s="15"/>
      <c r="E188" s="15"/>
    </row>
    <row r="189" spans="1:5" x14ac:dyDescent="0.25">
      <c r="A189" s="15" t="s">
        <v>798</v>
      </c>
      <c r="B189" s="15"/>
      <c r="C189" s="15"/>
      <c r="D189" s="15"/>
      <c r="E189" s="15"/>
    </row>
    <row r="190" spans="1:5" x14ac:dyDescent="0.25">
      <c r="A190" s="15" t="s">
        <v>100</v>
      </c>
      <c r="B190" s="15"/>
      <c r="C190" s="15">
        <v>5.32</v>
      </c>
      <c r="D190" s="15">
        <v>7.95</v>
      </c>
      <c r="E190" s="15">
        <v>83.79</v>
      </c>
    </row>
    <row r="191" spans="1:5" x14ac:dyDescent="0.25">
      <c r="A191" s="15" t="s">
        <v>103</v>
      </c>
      <c r="B191" s="15"/>
      <c r="C191" s="15"/>
      <c r="D191" s="15"/>
      <c r="E191" s="15">
        <v>36.78</v>
      </c>
    </row>
    <row r="192" spans="1:5" x14ac:dyDescent="0.25">
      <c r="A192" s="15" t="s">
        <v>352</v>
      </c>
      <c r="B192" s="15"/>
      <c r="C192" s="15"/>
      <c r="D192" s="15"/>
      <c r="E192" s="15"/>
    </row>
    <row r="193" spans="1:14" x14ac:dyDescent="0.25">
      <c r="A193" s="15" t="s">
        <v>799</v>
      </c>
      <c r="B193" s="15"/>
      <c r="C193" s="15"/>
      <c r="D193" s="15"/>
      <c r="E193" s="15"/>
    </row>
    <row r="194" spans="1:14" x14ac:dyDescent="0.25">
      <c r="A194" s="15" t="s">
        <v>356</v>
      </c>
      <c r="B194" s="15">
        <v>72.38</v>
      </c>
      <c r="C194" s="15"/>
      <c r="D194" s="15"/>
      <c r="E194" s="15"/>
    </row>
    <row r="195" spans="1:14" x14ac:dyDescent="0.25">
      <c r="A195" s="15" t="s">
        <v>108</v>
      </c>
      <c r="B195" s="15"/>
      <c r="C195" s="15"/>
      <c r="D195" s="15"/>
      <c r="E195" s="15"/>
    </row>
    <row r="196" spans="1:14" x14ac:dyDescent="0.25">
      <c r="A196" s="15" t="s">
        <v>111</v>
      </c>
      <c r="B196" s="15"/>
      <c r="C196" s="15"/>
      <c r="D196" s="15"/>
      <c r="E196" s="15"/>
    </row>
    <row r="197" spans="1:14" x14ac:dyDescent="0.25">
      <c r="A197" s="15" t="s">
        <v>112</v>
      </c>
      <c r="B197" s="15"/>
      <c r="C197" s="15"/>
      <c r="D197" s="15"/>
      <c r="E197" s="15"/>
    </row>
    <row r="198" spans="1:14" x14ac:dyDescent="0.25">
      <c r="A198" s="15" t="s">
        <v>765</v>
      </c>
      <c r="B198" s="15"/>
      <c r="C198" s="15"/>
      <c r="D198" s="15"/>
      <c r="E198" s="15">
        <v>84.41</v>
      </c>
    </row>
    <row r="199" spans="1:14" x14ac:dyDescent="0.25">
      <c r="A199" s="15" t="s">
        <v>800</v>
      </c>
      <c r="B199" s="15">
        <v>0</v>
      </c>
      <c r="C199" s="15">
        <v>18.399999999999999</v>
      </c>
      <c r="D199" s="15"/>
      <c r="E199" s="15"/>
    </row>
    <row r="200" spans="1:14" x14ac:dyDescent="0.25">
      <c r="A200" s="15" t="s">
        <v>114</v>
      </c>
      <c r="B200" s="15">
        <v>124.08</v>
      </c>
      <c r="C200" s="15">
        <v>103.08</v>
      </c>
      <c r="D200" s="15">
        <v>83.86</v>
      </c>
      <c r="E200" s="15">
        <v>5.95</v>
      </c>
    </row>
    <row r="201" spans="1:14" x14ac:dyDescent="0.25">
      <c r="A201" s="15" t="s">
        <v>118</v>
      </c>
      <c r="B201" s="15"/>
      <c r="C201" s="15"/>
      <c r="D201" s="15">
        <v>90.38</v>
      </c>
      <c r="E201" s="15"/>
    </row>
    <row r="202" spans="1:14" x14ac:dyDescent="0.25">
      <c r="A202" s="15" t="s">
        <v>456</v>
      </c>
      <c r="B202" s="15"/>
      <c r="C202" s="15"/>
      <c r="D202" s="15"/>
      <c r="E202" s="15"/>
    </row>
    <row r="203" spans="1:14" x14ac:dyDescent="0.25">
      <c r="A203" t="s">
        <v>354</v>
      </c>
      <c r="E203">
        <v>29.99</v>
      </c>
    </row>
    <row r="206" spans="1:14" x14ac:dyDescent="0.25">
      <c r="A206" s="5" t="s">
        <v>654</v>
      </c>
      <c r="B206" s="5"/>
      <c r="C206" s="5"/>
      <c r="D206" s="5"/>
      <c r="E206" s="5"/>
      <c r="F206" s="5"/>
      <c r="G206" s="5"/>
      <c r="H206" s="5"/>
      <c r="I206" s="5"/>
      <c r="J206" s="5"/>
      <c r="K206" s="5"/>
      <c r="L206" s="5"/>
      <c r="M206" s="5"/>
      <c r="N206" s="5"/>
    </row>
    <row r="207" spans="1:14" x14ac:dyDescent="0.25">
      <c r="A207" s="5" t="s">
        <v>655</v>
      </c>
      <c r="B207" s="5"/>
      <c r="C207" s="5"/>
      <c r="D207" s="5"/>
      <c r="E207" s="5"/>
      <c r="F207" s="5"/>
      <c r="G207" s="5"/>
      <c r="H207" s="5"/>
      <c r="I207" s="5"/>
      <c r="J207" s="5"/>
      <c r="K207" s="5"/>
      <c r="L207" s="5"/>
      <c r="M207" s="5"/>
      <c r="N207" s="5"/>
    </row>
    <row r="208" spans="1:14" x14ac:dyDescent="0.25">
      <c r="A208" s="18" t="s">
        <v>676</v>
      </c>
    </row>
    <row r="209" spans="1:12" x14ac:dyDescent="0.25">
      <c r="A209" t="s">
        <v>677</v>
      </c>
    </row>
    <row r="210" spans="1:12" ht="15.75" thickBot="1" x14ac:dyDescent="0.3"/>
    <row r="211" spans="1:12" x14ac:dyDescent="0.25">
      <c r="A211" s="218" t="s">
        <v>656</v>
      </c>
      <c r="B211" s="218" t="s">
        <v>657</v>
      </c>
      <c r="C211" s="218" t="s">
        <v>658</v>
      </c>
      <c r="D211" s="218" t="s">
        <v>659</v>
      </c>
      <c r="E211" s="218" t="s">
        <v>660</v>
      </c>
      <c r="F211" s="218" t="s">
        <v>661</v>
      </c>
      <c r="G211" s="218" t="s">
        <v>662</v>
      </c>
      <c r="H211" s="218" t="s">
        <v>663</v>
      </c>
      <c r="I211" s="218" t="s">
        <v>664</v>
      </c>
      <c r="J211" s="218" t="s">
        <v>665</v>
      </c>
      <c r="K211" s="218" t="s">
        <v>666</v>
      </c>
      <c r="L211" s="72" t="s">
        <v>667</v>
      </c>
    </row>
    <row r="212" spans="1:12" ht="15.75" thickBot="1" x14ac:dyDescent="0.3">
      <c r="A212" s="219"/>
      <c r="B212" s="219"/>
      <c r="C212" s="219"/>
      <c r="D212" s="219"/>
      <c r="E212" s="219"/>
      <c r="F212" s="219"/>
      <c r="G212" s="219"/>
      <c r="H212" s="219"/>
      <c r="I212" s="219"/>
      <c r="J212" s="219"/>
      <c r="K212" s="219"/>
      <c r="L212" s="73" t="s">
        <v>668</v>
      </c>
    </row>
    <row r="213" spans="1:12" x14ac:dyDescent="0.25">
      <c r="A213" s="74" t="s">
        <v>669</v>
      </c>
      <c r="B213" s="75"/>
      <c r="C213" s="75"/>
      <c r="D213" s="75"/>
      <c r="E213" s="75"/>
      <c r="F213" s="75">
        <v>6.6100000000000004E-3</v>
      </c>
      <c r="G213" s="75">
        <v>0.26500000000000001</v>
      </c>
      <c r="H213" s="75">
        <v>0.24426</v>
      </c>
      <c r="I213" s="75"/>
      <c r="J213" s="75"/>
      <c r="K213" s="75"/>
      <c r="L213" s="75"/>
    </row>
    <row r="214" spans="1:12" x14ac:dyDescent="0.25">
      <c r="A214" s="74" t="s">
        <v>629</v>
      </c>
      <c r="B214" s="75">
        <v>2.2000000000000002</v>
      </c>
      <c r="C214" s="75">
        <v>3.7</v>
      </c>
      <c r="D214" s="75"/>
      <c r="E214" s="75"/>
      <c r="F214" s="75">
        <v>0.63400000000000001</v>
      </c>
      <c r="G214" s="75"/>
      <c r="H214" s="75">
        <v>6.0999999999999999E-2</v>
      </c>
      <c r="I214" s="75">
        <v>0.3589</v>
      </c>
      <c r="J214" s="75">
        <v>0.29355999999999999</v>
      </c>
      <c r="K214" s="75">
        <v>0.35</v>
      </c>
      <c r="L214" s="75">
        <v>1.5</v>
      </c>
    </row>
    <row r="215" spans="1:12" x14ac:dyDescent="0.25">
      <c r="A215" s="74" t="s">
        <v>0</v>
      </c>
      <c r="B215" s="75">
        <v>3.2</v>
      </c>
      <c r="C215" s="75">
        <v>1.4</v>
      </c>
      <c r="D215" s="75">
        <v>0.82499999999999996</v>
      </c>
      <c r="E215" s="75">
        <v>0.94299999999999995</v>
      </c>
      <c r="F215" s="75">
        <v>1.0049999999999999</v>
      </c>
      <c r="G215" s="75">
        <v>0.45</v>
      </c>
      <c r="H215" s="75">
        <v>5.1806999999999999</v>
      </c>
      <c r="I215" s="75">
        <v>1.012</v>
      </c>
      <c r="J215" s="75">
        <v>1.484</v>
      </c>
      <c r="K215" s="75">
        <v>1.345</v>
      </c>
      <c r="L215" s="75">
        <v>1.05</v>
      </c>
    </row>
    <row r="216" spans="1:12" x14ac:dyDescent="0.25">
      <c r="A216" s="74" t="s">
        <v>22</v>
      </c>
      <c r="B216" s="75"/>
      <c r="C216" s="75"/>
      <c r="D216" s="75"/>
      <c r="E216" s="75"/>
      <c r="F216" s="75"/>
      <c r="G216" s="75">
        <v>0.124</v>
      </c>
      <c r="H216" s="75"/>
      <c r="I216" s="75"/>
      <c r="J216" s="75"/>
      <c r="K216" s="75"/>
      <c r="L216" s="75"/>
    </row>
    <row r="217" spans="1:12" x14ac:dyDescent="0.25">
      <c r="A217" s="74" t="s">
        <v>23</v>
      </c>
      <c r="B217" s="75"/>
      <c r="C217" s="75"/>
      <c r="D217" s="75"/>
      <c r="E217" s="75"/>
      <c r="F217" s="75">
        <v>1.341E-2</v>
      </c>
      <c r="G217" s="75">
        <v>5.5E-2</v>
      </c>
      <c r="H217" s="75"/>
      <c r="I217" s="75"/>
      <c r="J217" s="75"/>
      <c r="K217" s="75"/>
      <c r="L217" s="75"/>
    </row>
    <row r="218" spans="1:12" x14ac:dyDescent="0.25">
      <c r="A218" s="74" t="s">
        <v>670</v>
      </c>
      <c r="B218" s="75"/>
      <c r="C218" s="75"/>
      <c r="D218" s="75">
        <v>5.5300000000000002E-3</v>
      </c>
      <c r="E218" s="75">
        <v>6.3200000000000001E-3</v>
      </c>
      <c r="F218" s="75"/>
      <c r="G218" s="75"/>
      <c r="H218" s="75">
        <v>7.7999999999999996E-3</v>
      </c>
      <c r="I218" s="75"/>
      <c r="J218" s="75"/>
      <c r="K218" s="75">
        <v>0.04</v>
      </c>
      <c r="L218" s="75">
        <v>0.3</v>
      </c>
    </row>
    <row r="219" spans="1:12" x14ac:dyDescent="0.25">
      <c r="A219" s="74" t="s">
        <v>631</v>
      </c>
      <c r="B219" s="75">
        <v>0.2</v>
      </c>
      <c r="C219" s="75">
        <v>5.6000000000000001E-2</v>
      </c>
      <c r="F219" s="75">
        <v>1.0619999999999999E-2</v>
      </c>
      <c r="G219" s="75">
        <v>0.109</v>
      </c>
      <c r="H219" s="75">
        <v>5.0000000000000001E-4</v>
      </c>
      <c r="I219" s="75">
        <v>7.5300000000000006E-2</v>
      </c>
      <c r="J219" s="75">
        <v>7.5314999999999993E-2</v>
      </c>
      <c r="K219" s="75"/>
      <c r="L219" s="75">
        <v>0.25</v>
      </c>
    </row>
    <row r="220" spans="1:12" x14ac:dyDescent="0.25">
      <c r="A220" s="74" t="s">
        <v>265</v>
      </c>
      <c r="B220" s="75">
        <v>0.94</v>
      </c>
      <c r="C220" s="75">
        <v>1.8</v>
      </c>
      <c r="D220" s="75">
        <v>1.2999999999999999E-3</v>
      </c>
      <c r="E220" s="75">
        <v>1.2999999999999999E-3</v>
      </c>
      <c r="F220" s="75">
        <v>0.33400000000000002</v>
      </c>
      <c r="G220" s="75"/>
      <c r="H220" s="75">
        <v>1.559E-2</v>
      </c>
      <c r="I220" s="75">
        <v>0.37659999999999999</v>
      </c>
      <c r="J220" s="75">
        <v>0.37657000000000002</v>
      </c>
      <c r="K220" s="75">
        <v>0.3</v>
      </c>
      <c r="L220" s="75"/>
    </row>
    <row r="221" spans="1:12" x14ac:dyDescent="0.25">
      <c r="A221" s="74" t="s">
        <v>27</v>
      </c>
      <c r="B221" s="75"/>
      <c r="C221" s="75"/>
      <c r="D221" s="75"/>
      <c r="E221" s="75"/>
      <c r="F221" s="75"/>
      <c r="G221" s="75"/>
      <c r="H221" s="75"/>
      <c r="I221" s="75">
        <v>3.7699999999999997E-2</v>
      </c>
      <c r="J221" s="75">
        <v>3.7657000000000003E-2</v>
      </c>
      <c r="K221" s="75"/>
      <c r="L221" s="75"/>
    </row>
    <row r="222" spans="1:12" x14ac:dyDescent="0.25">
      <c r="A222" s="74" t="s">
        <v>671</v>
      </c>
      <c r="B222" s="75"/>
      <c r="C222" s="75"/>
      <c r="D222" s="75"/>
      <c r="E222" s="75"/>
      <c r="F222" s="75"/>
      <c r="G222" s="75">
        <v>0.11</v>
      </c>
      <c r="H222" s="75"/>
      <c r="I222" s="75"/>
      <c r="J222" s="75"/>
      <c r="K222" s="75"/>
      <c r="L222" s="75"/>
    </row>
    <row r="223" spans="1:12" x14ac:dyDescent="0.25">
      <c r="A223" s="74" t="s">
        <v>672</v>
      </c>
      <c r="B223" s="75">
        <v>1.342E-2</v>
      </c>
      <c r="C223" s="75">
        <v>1.702E-2</v>
      </c>
      <c r="D223" s="75">
        <v>5.8999999999999997E-2</v>
      </c>
      <c r="E223" s="75">
        <v>6.8169999999999994E-2</v>
      </c>
      <c r="F223" s="75"/>
      <c r="G223" s="75"/>
      <c r="H223" s="75"/>
      <c r="I223" s="75"/>
      <c r="J223" s="75"/>
      <c r="K223" s="75"/>
      <c r="L223" s="75"/>
    </row>
    <row r="224" spans="1:12" x14ac:dyDescent="0.25">
      <c r="A224" s="74" t="s">
        <v>673</v>
      </c>
      <c r="B224" s="75"/>
      <c r="C224" s="75"/>
      <c r="D224" s="75"/>
      <c r="E224" s="75"/>
      <c r="F224" s="75">
        <v>7.4999999999999997E-3</v>
      </c>
      <c r="G224" s="75"/>
      <c r="H224" s="75">
        <v>0.24287</v>
      </c>
      <c r="I224" s="75"/>
      <c r="J224" s="75"/>
      <c r="K224" s="75"/>
      <c r="L224" s="75"/>
    </row>
    <row r="225" spans="1:12" x14ac:dyDescent="0.25">
      <c r="A225" s="74" t="s">
        <v>674</v>
      </c>
      <c r="B225" s="75"/>
      <c r="C225" s="75"/>
      <c r="D225" s="75"/>
      <c r="E225" s="75"/>
      <c r="F225" s="75">
        <v>0.14321</v>
      </c>
      <c r="G225" s="75"/>
      <c r="H225" s="75"/>
      <c r="I225" s="75"/>
      <c r="J225" s="75"/>
      <c r="K225" s="75"/>
      <c r="L225" s="75"/>
    </row>
    <row r="226" spans="1:12" x14ac:dyDescent="0.25">
      <c r="A226" s="74" t="s">
        <v>675</v>
      </c>
      <c r="B226" s="75">
        <v>1.9E-3</v>
      </c>
      <c r="C226" s="75">
        <v>1.6999999999999999E-3</v>
      </c>
      <c r="D226" s="75"/>
      <c r="E226" s="75"/>
      <c r="F226" s="75"/>
      <c r="G226" s="75"/>
      <c r="H226" s="75"/>
      <c r="I226" s="75">
        <v>9.0399999999999994E-2</v>
      </c>
      <c r="J226" s="75">
        <v>9.0378700000000006E-2</v>
      </c>
      <c r="K226" s="75"/>
      <c r="L226" s="75"/>
    </row>
    <row r="227" spans="1:12" x14ac:dyDescent="0.25">
      <c r="A227" s="74" t="s">
        <v>632</v>
      </c>
      <c r="B227" s="75">
        <v>0.65</v>
      </c>
      <c r="C227" s="75">
        <v>1.4</v>
      </c>
      <c r="D227" s="75">
        <v>1.562E-2</v>
      </c>
      <c r="E227" s="75">
        <v>1.7850000000000001E-2</v>
      </c>
      <c r="F227" s="75"/>
      <c r="G227" s="75">
        <v>0.121</v>
      </c>
      <c r="H227" s="75"/>
      <c r="I227" s="75"/>
      <c r="J227" s="75"/>
      <c r="K227" s="75"/>
      <c r="L227" s="75">
        <v>0.4</v>
      </c>
    </row>
    <row r="228" spans="1:12" x14ac:dyDescent="0.25">
      <c r="A228" s="74" t="s">
        <v>30</v>
      </c>
      <c r="B228" s="75"/>
      <c r="C228" s="75"/>
      <c r="D228" s="75"/>
      <c r="E228" s="75"/>
      <c r="F228" s="75"/>
      <c r="G228" s="75"/>
      <c r="H228" s="75"/>
      <c r="I228" s="75">
        <v>1.2999999999999999E-3</v>
      </c>
      <c r="J228" s="75">
        <v>3.0800000000000001E-2</v>
      </c>
      <c r="K228" s="75"/>
      <c r="L228" s="75"/>
    </row>
    <row r="229" spans="1:12" x14ac:dyDescent="0.25">
      <c r="A229" s="74" t="s">
        <v>26</v>
      </c>
      <c r="B229" s="75"/>
      <c r="C229" s="75"/>
      <c r="D229" s="75"/>
      <c r="E229" s="75"/>
      <c r="F229" s="75"/>
      <c r="G229" s="75"/>
      <c r="H229" s="75"/>
      <c r="I229" s="75">
        <v>6.1999999999999998E-3</v>
      </c>
      <c r="J229" s="75">
        <v>0.15092</v>
      </c>
      <c r="K229" s="75"/>
      <c r="L229" s="75"/>
    </row>
    <row r="230" spans="1:12" x14ac:dyDescent="0.25">
      <c r="A230" s="74" t="s">
        <v>34</v>
      </c>
      <c r="B230" s="75"/>
      <c r="C230" s="75"/>
      <c r="D230" s="75"/>
      <c r="E230" s="75"/>
      <c r="F230" s="75"/>
      <c r="G230" s="75"/>
      <c r="H230" s="75"/>
      <c r="I230" s="75">
        <v>2.9999999999999997E-4</v>
      </c>
      <c r="J230" s="75">
        <v>6.1599999999999997E-3</v>
      </c>
      <c r="K230" s="75"/>
      <c r="L230" s="75"/>
    </row>
    <row r="231" spans="1:12" ht="15.75" thickBot="1" x14ac:dyDescent="0.3">
      <c r="A231" s="76" t="s">
        <v>18</v>
      </c>
      <c r="B231" s="77"/>
      <c r="C231" s="77"/>
      <c r="D231" s="77"/>
      <c r="E231" s="77"/>
      <c r="F231" s="77"/>
      <c r="G231" s="77"/>
      <c r="H231" s="77"/>
      <c r="I231" s="77">
        <v>8.9999999999999998E-4</v>
      </c>
      <c r="J231" s="77">
        <v>2.1559999999999999E-2</v>
      </c>
      <c r="K231" s="77"/>
      <c r="L231" s="77"/>
    </row>
    <row r="234" spans="1:12" ht="15.75" thickBot="1" x14ac:dyDescent="0.3">
      <c r="A234" s="84" t="s">
        <v>537</v>
      </c>
      <c r="B234" s="15" t="s">
        <v>679</v>
      </c>
      <c r="C234" s="15" t="s">
        <v>678</v>
      </c>
      <c r="D234" s="15"/>
      <c r="E234" s="15"/>
      <c r="F234" s="15"/>
    </row>
    <row r="235" spans="1:12" x14ac:dyDescent="0.25">
      <c r="A235" s="15"/>
      <c r="B235" s="218" t="s">
        <v>659</v>
      </c>
      <c r="C235" s="218" t="s">
        <v>660</v>
      </c>
      <c r="D235" s="218" t="s">
        <v>661</v>
      </c>
      <c r="E235" s="218" t="s">
        <v>662</v>
      </c>
      <c r="F235" s="218" t="s">
        <v>663</v>
      </c>
      <c r="G235" s="218" t="s">
        <v>760</v>
      </c>
    </row>
    <row r="236" spans="1:12" ht="15.75" thickBot="1" x14ac:dyDescent="0.3">
      <c r="A236" s="15"/>
      <c r="B236" s="219"/>
      <c r="C236" s="219"/>
      <c r="D236" s="219"/>
      <c r="E236" s="219"/>
      <c r="F236" s="219"/>
      <c r="G236" s="219"/>
    </row>
    <row r="237" spans="1:12" x14ac:dyDescent="0.25">
      <c r="A237" s="85" t="s">
        <v>669</v>
      </c>
      <c r="B237" s="75">
        <f>D213*1000</f>
        <v>0</v>
      </c>
      <c r="C237" s="75">
        <f t="shared" ref="C237:F237" si="0">E213*1000</f>
        <v>0</v>
      </c>
      <c r="D237" s="86">
        <f t="shared" si="0"/>
        <v>6.61</v>
      </c>
      <c r="E237" s="86">
        <f t="shared" si="0"/>
        <v>265</v>
      </c>
      <c r="F237" s="86">
        <f t="shared" si="0"/>
        <v>244.26</v>
      </c>
      <c r="G237" s="86">
        <f>AVERAGE(B237,C237)</f>
        <v>0</v>
      </c>
    </row>
    <row r="238" spans="1:12" x14ac:dyDescent="0.25">
      <c r="A238" s="85" t="s">
        <v>629</v>
      </c>
      <c r="B238" s="75">
        <f t="shared" ref="B238:B255" si="1">D214*1000</f>
        <v>0</v>
      </c>
      <c r="C238" s="75">
        <f t="shared" ref="C238:C255" si="2">E214*1000</f>
        <v>0</v>
      </c>
      <c r="D238" s="86">
        <f t="shared" ref="D238:D255" si="3">F214*1000</f>
        <v>634</v>
      </c>
      <c r="E238" s="86">
        <f t="shared" ref="E238:E255" si="4">G214*1000</f>
        <v>0</v>
      </c>
      <c r="F238" s="86">
        <f t="shared" ref="F238:F255" si="5">H214*1000</f>
        <v>61</v>
      </c>
      <c r="G238" s="86">
        <f t="shared" ref="G238:G255" si="6">AVERAGE(B238,C238)</f>
        <v>0</v>
      </c>
    </row>
    <row r="239" spans="1:12" x14ac:dyDescent="0.25">
      <c r="A239" s="85" t="s">
        <v>0</v>
      </c>
      <c r="B239" s="75">
        <f t="shared" si="1"/>
        <v>825</v>
      </c>
      <c r="C239" s="75">
        <f t="shared" si="2"/>
        <v>943</v>
      </c>
      <c r="D239" s="86">
        <f t="shared" si="3"/>
        <v>1004.9999999999999</v>
      </c>
      <c r="E239" s="86">
        <f t="shared" si="4"/>
        <v>450</v>
      </c>
      <c r="F239" s="86">
        <f t="shared" si="5"/>
        <v>5180.7</v>
      </c>
      <c r="G239" s="86">
        <f t="shared" si="6"/>
        <v>884</v>
      </c>
    </row>
    <row r="240" spans="1:12" x14ac:dyDescent="0.25">
      <c r="A240" s="85" t="s">
        <v>22</v>
      </c>
      <c r="B240" s="75">
        <f t="shared" si="1"/>
        <v>0</v>
      </c>
      <c r="C240" s="75">
        <f t="shared" si="2"/>
        <v>0</v>
      </c>
      <c r="D240" s="86">
        <f t="shared" si="3"/>
        <v>0</v>
      </c>
      <c r="E240" s="86">
        <f t="shared" si="4"/>
        <v>124</v>
      </c>
      <c r="F240" s="86">
        <f t="shared" si="5"/>
        <v>0</v>
      </c>
      <c r="G240" s="86">
        <f t="shared" si="6"/>
        <v>0</v>
      </c>
    </row>
    <row r="241" spans="1:8" x14ac:dyDescent="0.25">
      <c r="A241" s="85" t="s">
        <v>23</v>
      </c>
      <c r="B241" s="75">
        <f t="shared" si="1"/>
        <v>0</v>
      </c>
      <c r="C241" s="75">
        <f t="shared" si="2"/>
        <v>0</v>
      </c>
      <c r="D241" s="86">
        <f t="shared" si="3"/>
        <v>13.41</v>
      </c>
      <c r="E241" s="86">
        <f t="shared" si="4"/>
        <v>55</v>
      </c>
      <c r="F241" s="86">
        <f t="shared" si="5"/>
        <v>0</v>
      </c>
      <c r="G241" s="86">
        <f t="shared" si="6"/>
        <v>0</v>
      </c>
    </row>
    <row r="242" spans="1:8" x14ac:dyDescent="0.25">
      <c r="A242" s="85" t="s">
        <v>670</v>
      </c>
      <c r="B242" s="75">
        <f t="shared" si="1"/>
        <v>5.53</v>
      </c>
      <c r="C242" s="75">
        <f t="shared" si="2"/>
        <v>6.32</v>
      </c>
      <c r="D242" s="86">
        <f t="shared" si="3"/>
        <v>0</v>
      </c>
      <c r="E242" s="86">
        <f t="shared" si="4"/>
        <v>0</v>
      </c>
      <c r="F242" s="86">
        <f t="shared" si="5"/>
        <v>7.8</v>
      </c>
      <c r="G242" s="86">
        <f t="shared" si="6"/>
        <v>5.9250000000000007</v>
      </c>
    </row>
    <row r="243" spans="1:8" x14ac:dyDescent="0.25">
      <c r="A243" s="85" t="s">
        <v>631</v>
      </c>
      <c r="B243" s="75">
        <f t="shared" si="1"/>
        <v>0</v>
      </c>
      <c r="C243" s="75">
        <f t="shared" si="2"/>
        <v>0</v>
      </c>
      <c r="D243" s="86">
        <f t="shared" si="3"/>
        <v>10.62</v>
      </c>
      <c r="E243" s="86">
        <f t="shared" si="4"/>
        <v>109</v>
      </c>
      <c r="F243" s="86">
        <f t="shared" si="5"/>
        <v>0.5</v>
      </c>
      <c r="G243" s="86">
        <f t="shared" si="6"/>
        <v>0</v>
      </c>
    </row>
    <row r="244" spans="1:8" x14ac:dyDescent="0.25">
      <c r="A244" s="85" t="s">
        <v>265</v>
      </c>
      <c r="B244" s="75">
        <f t="shared" si="1"/>
        <v>1.3</v>
      </c>
      <c r="C244" s="75">
        <f t="shared" si="2"/>
        <v>1.3</v>
      </c>
      <c r="D244" s="86">
        <f t="shared" si="3"/>
        <v>334</v>
      </c>
      <c r="E244" s="86">
        <f t="shared" si="4"/>
        <v>0</v>
      </c>
      <c r="F244" s="86">
        <f t="shared" si="5"/>
        <v>15.59</v>
      </c>
      <c r="G244" s="86">
        <f t="shared" si="6"/>
        <v>1.3</v>
      </c>
    </row>
    <row r="245" spans="1:8" x14ac:dyDescent="0.25">
      <c r="A245" s="85" t="s">
        <v>27</v>
      </c>
      <c r="B245" s="75">
        <f t="shared" si="1"/>
        <v>0</v>
      </c>
      <c r="C245" s="75">
        <f t="shared" si="2"/>
        <v>0</v>
      </c>
      <c r="D245" s="86">
        <f t="shared" si="3"/>
        <v>0</v>
      </c>
      <c r="E245" s="86">
        <f t="shared" si="4"/>
        <v>0</v>
      </c>
      <c r="F245" s="86">
        <f t="shared" si="5"/>
        <v>0</v>
      </c>
      <c r="G245" s="86">
        <f t="shared" si="6"/>
        <v>0</v>
      </c>
      <c r="H245" s="86"/>
    </row>
    <row r="246" spans="1:8" x14ac:dyDescent="0.25">
      <c r="A246" s="85" t="s">
        <v>671</v>
      </c>
      <c r="B246" s="75">
        <f t="shared" si="1"/>
        <v>0</v>
      </c>
      <c r="C246" s="75">
        <f t="shared" si="2"/>
        <v>0</v>
      </c>
      <c r="D246" s="86">
        <f t="shared" si="3"/>
        <v>0</v>
      </c>
      <c r="E246" s="86">
        <f t="shared" si="4"/>
        <v>110</v>
      </c>
      <c r="F246" s="86">
        <f t="shared" si="5"/>
        <v>0</v>
      </c>
      <c r="G246" s="86">
        <f t="shared" si="6"/>
        <v>0</v>
      </c>
    </row>
    <row r="247" spans="1:8" x14ac:dyDescent="0.25">
      <c r="A247" s="85" t="s">
        <v>672</v>
      </c>
      <c r="B247" s="75">
        <f t="shared" si="1"/>
        <v>59</v>
      </c>
      <c r="C247" s="75">
        <f t="shared" si="2"/>
        <v>68.169999999999987</v>
      </c>
      <c r="D247" s="86">
        <f t="shared" si="3"/>
        <v>0</v>
      </c>
      <c r="E247" s="86">
        <f t="shared" si="4"/>
        <v>0</v>
      </c>
      <c r="F247" s="86">
        <f t="shared" si="5"/>
        <v>0</v>
      </c>
      <c r="G247" s="86">
        <f t="shared" si="6"/>
        <v>63.584999999999994</v>
      </c>
    </row>
    <row r="248" spans="1:8" x14ac:dyDescent="0.25">
      <c r="A248" s="85" t="s">
        <v>673</v>
      </c>
      <c r="B248" s="75">
        <f t="shared" si="1"/>
        <v>0</v>
      </c>
      <c r="C248" s="75">
        <f t="shared" si="2"/>
        <v>0</v>
      </c>
      <c r="D248" s="86">
        <f t="shared" si="3"/>
        <v>7.5</v>
      </c>
      <c r="E248" s="86">
        <f t="shared" si="4"/>
        <v>0</v>
      </c>
      <c r="F248" s="86">
        <f t="shared" si="5"/>
        <v>242.87</v>
      </c>
      <c r="G248" s="86">
        <f t="shared" si="6"/>
        <v>0</v>
      </c>
    </row>
    <row r="249" spans="1:8" x14ac:dyDescent="0.25">
      <c r="A249" s="85" t="s">
        <v>674</v>
      </c>
      <c r="B249" s="75">
        <f t="shared" si="1"/>
        <v>0</v>
      </c>
      <c r="C249" s="75">
        <f t="shared" si="2"/>
        <v>0</v>
      </c>
      <c r="D249" s="86">
        <f t="shared" si="3"/>
        <v>143.21</v>
      </c>
      <c r="E249" s="86">
        <f t="shared" si="4"/>
        <v>0</v>
      </c>
      <c r="F249" s="86">
        <f t="shared" si="5"/>
        <v>0</v>
      </c>
      <c r="G249" s="86">
        <f t="shared" si="6"/>
        <v>0</v>
      </c>
    </row>
    <row r="250" spans="1:8" x14ac:dyDescent="0.25">
      <c r="A250" s="85" t="s">
        <v>675</v>
      </c>
      <c r="B250" s="75">
        <f t="shared" si="1"/>
        <v>0</v>
      </c>
      <c r="C250" s="75">
        <f t="shared" si="2"/>
        <v>0</v>
      </c>
      <c r="D250" s="86">
        <f t="shared" si="3"/>
        <v>0</v>
      </c>
      <c r="E250" s="86">
        <f t="shared" si="4"/>
        <v>0</v>
      </c>
      <c r="F250" s="86">
        <f t="shared" si="5"/>
        <v>0</v>
      </c>
      <c r="G250" s="86">
        <f t="shared" si="6"/>
        <v>0</v>
      </c>
    </row>
    <row r="251" spans="1:8" x14ac:dyDescent="0.25">
      <c r="A251" s="85" t="s">
        <v>632</v>
      </c>
      <c r="B251" s="75">
        <f t="shared" si="1"/>
        <v>15.620000000000001</v>
      </c>
      <c r="C251" s="75">
        <f t="shared" si="2"/>
        <v>17.850000000000001</v>
      </c>
      <c r="D251" s="86">
        <f t="shared" si="3"/>
        <v>0</v>
      </c>
      <c r="E251" s="86">
        <f t="shared" si="4"/>
        <v>121</v>
      </c>
      <c r="F251" s="86">
        <f t="shared" si="5"/>
        <v>0</v>
      </c>
      <c r="G251" s="86">
        <f t="shared" si="6"/>
        <v>16.734999999999999</v>
      </c>
    </row>
    <row r="252" spans="1:8" x14ac:dyDescent="0.25">
      <c r="A252" s="85" t="s">
        <v>30</v>
      </c>
      <c r="B252" s="75">
        <f t="shared" si="1"/>
        <v>0</v>
      </c>
      <c r="C252" s="75">
        <f t="shared" si="2"/>
        <v>0</v>
      </c>
      <c r="D252" s="86">
        <f t="shared" si="3"/>
        <v>0</v>
      </c>
      <c r="E252" s="86">
        <f t="shared" si="4"/>
        <v>0</v>
      </c>
      <c r="F252" s="86">
        <f t="shared" si="5"/>
        <v>0</v>
      </c>
      <c r="G252" s="86">
        <f t="shared" si="6"/>
        <v>0</v>
      </c>
    </row>
    <row r="253" spans="1:8" x14ac:dyDescent="0.25">
      <c r="A253" s="85" t="s">
        <v>26</v>
      </c>
      <c r="B253" s="75">
        <f t="shared" si="1"/>
        <v>0</v>
      </c>
      <c r="C253" s="75">
        <f t="shared" si="2"/>
        <v>0</v>
      </c>
      <c r="D253" s="86">
        <f t="shared" si="3"/>
        <v>0</v>
      </c>
      <c r="E253" s="86">
        <f t="shared" si="4"/>
        <v>0</v>
      </c>
      <c r="F253" s="86">
        <f t="shared" si="5"/>
        <v>0</v>
      </c>
      <c r="G253" s="86">
        <f t="shared" si="6"/>
        <v>0</v>
      </c>
    </row>
    <row r="254" spans="1:8" x14ac:dyDescent="0.25">
      <c r="A254" s="85" t="s">
        <v>34</v>
      </c>
      <c r="B254" s="75">
        <f t="shared" si="1"/>
        <v>0</v>
      </c>
      <c r="C254" s="75">
        <f t="shared" si="2"/>
        <v>0</v>
      </c>
      <c r="D254" s="86">
        <f t="shared" si="3"/>
        <v>0</v>
      </c>
      <c r="E254" s="86">
        <f t="shared" si="4"/>
        <v>0</v>
      </c>
      <c r="F254" s="86">
        <f t="shared" si="5"/>
        <v>0</v>
      </c>
      <c r="G254" s="86">
        <f t="shared" si="6"/>
        <v>0</v>
      </c>
    </row>
    <row r="255" spans="1:8" ht="15.75" thickBot="1" x14ac:dyDescent="0.3">
      <c r="A255" s="87" t="s">
        <v>18</v>
      </c>
      <c r="B255" s="75">
        <f t="shared" si="1"/>
        <v>0</v>
      </c>
      <c r="C255" s="75">
        <f t="shared" si="2"/>
        <v>0</v>
      </c>
      <c r="D255" s="86">
        <f t="shared" si="3"/>
        <v>0</v>
      </c>
      <c r="E255" s="86">
        <f t="shared" si="4"/>
        <v>0</v>
      </c>
      <c r="F255" s="86">
        <f t="shared" si="5"/>
        <v>0</v>
      </c>
      <c r="G255" s="86">
        <f t="shared" si="6"/>
        <v>0</v>
      </c>
    </row>
    <row r="258" spans="1:17" x14ac:dyDescent="0.25">
      <c r="A258" s="88" t="s">
        <v>771</v>
      </c>
      <c r="B258" s="6"/>
      <c r="C258" s="6"/>
      <c r="D258" s="6"/>
      <c r="E258" s="6"/>
      <c r="F258" s="6"/>
      <c r="G258" s="6"/>
      <c r="H258" s="6"/>
      <c r="I258" s="6"/>
      <c r="J258" s="6"/>
      <c r="K258" s="6"/>
      <c r="L258" s="6"/>
      <c r="M258" s="6"/>
      <c r="N258" s="6"/>
      <c r="O258" s="6"/>
      <c r="P258" s="6"/>
      <c r="Q258" s="6"/>
    </row>
    <row r="259" spans="1:17" x14ac:dyDescent="0.25">
      <c r="A259" s="88" t="s">
        <v>802</v>
      </c>
      <c r="B259" s="6"/>
      <c r="C259" s="6"/>
      <c r="D259" s="6"/>
      <c r="E259" s="6"/>
      <c r="F259" s="6"/>
      <c r="G259" s="6"/>
      <c r="H259" s="6"/>
      <c r="I259" s="6"/>
      <c r="J259" s="6"/>
      <c r="K259" s="6"/>
      <c r="L259" s="6"/>
      <c r="M259" s="6"/>
      <c r="N259" s="6"/>
      <c r="O259" s="6"/>
      <c r="P259" s="6"/>
      <c r="Q259" s="6"/>
    </row>
    <row r="261" spans="1:17" x14ac:dyDescent="0.25">
      <c r="A261" t="s">
        <v>803</v>
      </c>
    </row>
    <row r="264" spans="1:17" x14ac:dyDescent="0.25">
      <c r="A264" s="5" t="s">
        <v>200</v>
      </c>
      <c r="B264" s="5"/>
      <c r="C264" s="5"/>
      <c r="D264" s="5"/>
      <c r="E264" s="5"/>
      <c r="F264" s="5"/>
      <c r="G264" s="5"/>
      <c r="H264" s="5"/>
      <c r="I264" s="5"/>
      <c r="J264" s="5"/>
      <c r="K264" s="5"/>
      <c r="L264" s="5"/>
      <c r="M264" s="5"/>
      <c r="N264" s="5"/>
    </row>
    <row r="265" spans="1:17" x14ac:dyDescent="0.25">
      <c r="A265" s="29" t="s">
        <v>201</v>
      </c>
      <c r="B265" s="5"/>
      <c r="C265" s="5"/>
      <c r="D265" s="5"/>
      <c r="E265" s="5"/>
      <c r="F265" s="5"/>
      <c r="G265" s="5"/>
      <c r="H265" s="5"/>
      <c r="I265" s="5"/>
      <c r="J265" s="5"/>
      <c r="K265" s="5"/>
      <c r="L265" s="5"/>
      <c r="M265" s="5"/>
      <c r="N265" s="5"/>
    </row>
    <row r="266" spans="1:17" x14ac:dyDescent="0.25">
      <c r="A266" s="18" t="s">
        <v>202</v>
      </c>
    </row>
    <row r="267" spans="1:17" x14ac:dyDescent="0.25">
      <c r="A267" t="s">
        <v>212</v>
      </c>
    </row>
    <row r="270" spans="1:17" x14ac:dyDescent="0.25">
      <c r="A270" s="15" t="s">
        <v>537</v>
      </c>
      <c r="B270" s="15"/>
      <c r="C270" s="15"/>
      <c r="D270" s="15"/>
      <c r="E270" s="15"/>
    </row>
    <row r="271" spans="1:17" x14ac:dyDescent="0.25">
      <c r="A271" s="15"/>
      <c r="B271" s="15" t="s">
        <v>800</v>
      </c>
      <c r="C271" s="15" t="s">
        <v>804</v>
      </c>
      <c r="D271" s="15" t="s">
        <v>761</v>
      </c>
      <c r="E271" s="15" t="s">
        <v>762</v>
      </c>
    </row>
    <row r="272" spans="1:17" x14ac:dyDescent="0.25">
      <c r="A272" s="15" t="s">
        <v>246</v>
      </c>
      <c r="B272" s="15"/>
      <c r="C272" s="15"/>
      <c r="D272" s="15"/>
      <c r="E272" s="15"/>
    </row>
    <row r="273" spans="1:5" x14ac:dyDescent="0.25">
      <c r="A273" s="15" t="s">
        <v>0</v>
      </c>
      <c r="B273" s="15">
        <v>884</v>
      </c>
      <c r="C273" s="15">
        <v>1005</v>
      </c>
      <c r="D273" s="15">
        <v>5181</v>
      </c>
      <c r="E273" s="15">
        <v>450</v>
      </c>
    </row>
    <row r="274" spans="1:5" x14ac:dyDescent="0.25">
      <c r="A274" s="15" t="s">
        <v>18</v>
      </c>
      <c r="B274" s="15"/>
      <c r="C274" s="15"/>
      <c r="D274" s="15"/>
      <c r="E274" s="15"/>
    </row>
    <row r="275" spans="1:5" x14ac:dyDescent="0.25">
      <c r="A275" s="15" t="s">
        <v>22</v>
      </c>
      <c r="B275" s="15"/>
      <c r="C275" s="15"/>
      <c r="D275" s="15"/>
      <c r="E275" s="15">
        <v>4</v>
      </c>
    </row>
    <row r="276" spans="1:5" x14ac:dyDescent="0.25">
      <c r="A276" s="15" t="s">
        <v>23</v>
      </c>
      <c r="B276" s="15"/>
      <c r="C276" s="15">
        <v>5.32</v>
      </c>
      <c r="D276" s="15"/>
      <c r="E276" s="15">
        <v>13</v>
      </c>
    </row>
    <row r="277" spans="1:5" x14ac:dyDescent="0.25">
      <c r="A277" s="15" t="s">
        <v>25</v>
      </c>
      <c r="B277" s="15"/>
      <c r="C277" s="15"/>
      <c r="D277" s="15"/>
      <c r="E277" s="15"/>
    </row>
    <row r="278" spans="1:5" x14ac:dyDescent="0.25">
      <c r="A278" s="15" t="s">
        <v>26</v>
      </c>
      <c r="B278" s="15"/>
      <c r="C278" s="15"/>
      <c r="D278" s="15"/>
      <c r="E278" s="15"/>
    </row>
    <row r="279" spans="1:5" x14ac:dyDescent="0.25">
      <c r="A279" s="15" t="s">
        <v>265</v>
      </c>
      <c r="B279" s="15"/>
      <c r="C279" s="15"/>
      <c r="D279" s="15"/>
      <c r="E279" s="15"/>
    </row>
    <row r="280" spans="1:5" x14ac:dyDescent="0.25">
      <c r="A280" s="15" t="s">
        <v>29</v>
      </c>
      <c r="B280" s="15"/>
      <c r="C280" s="15"/>
      <c r="D280" s="15"/>
      <c r="E280" s="15"/>
    </row>
    <row r="281" spans="1:5" x14ac:dyDescent="0.25">
      <c r="A281" s="15" t="s">
        <v>671</v>
      </c>
      <c r="B281" s="15"/>
      <c r="C281" s="15"/>
      <c r="D281" s="15"/>
      <c r="E281" s="15">
        <v>41</v>
      </c>
    </row>
    <row r="282" spans="1:5" x14ac:dyDescent="0.25">
      <c r="A282" s="15" t="s">
        <v>672</v>
      </c>
      <c r="B282" s="15">
        <v>10</v>
      </c>
      <c r="C282" s="15"/>
      <c r="D282" s="15"/>
      <c r="E282" s="15"/>
    </row>
    <row r="283" spans="1:5" x14ac:dyDescent="0.25">
      <c r="A283" s="15" t="s">
        <v>673</v>
      </c>
      <c r="B283" s="15"/>
      <c r="C283" s="15"/>
      <c r="D283" s="15">
        <v>70</v>
      </c>
      <c r="E283" s="15"/>
    </row>
    <row r="291" spans="1:14" x14ac:dyDescent="0.25">
      <c r="A291" s="5" t="s">
        <v>520</v>
      </c>
      <c r="B291" s="5"/>
      <c r="C291" s="5"/>
      <c r="D291" s="5"/>
      <c r="E291" s="5"/>
      <c r="F291" s="5"/>
      <c r="G291" s="5"/>
      <c r="H291" s="5"/>
      <c r="I291" s="5"/>
      <c r="J291" s="5"/>
      <c r="K291" s="5"/>
      <c r="L291" s="5"/>
      <c r="M291" s="5"/>
      <c r="N291" s="5"/>
    </row>
    <row r="292" spans="1:14" x14ac:dyDescent="0.25">
      <c r="A292" s="29" t="s">
        <v>519</v>
      </c>
      <c r="B292" s="5"/>
      <c r="C292" s="5"/>
      <c r="D292" s="5"/>
      <c r="E292" s="5"/>
      <c r="F292" s="5"/>
      <c r="G292" s="5"/>
      <c r="H292" s="5"/>
      <c r="I292" s="5"/>
      <c r="J292" s="5"/>
      <c r="K292" s="5"/>
      <c r="L292" s="5"/>
      <c r="M292" s="5"/>
      <c r="N292" s="5"/>
    </row>
    <row r="293" spans="1:14" x14ac:dyDescent="0.25">
      <c r="A293" s="18" t="s">
        <v>521</v>
      </c>
    </row>
    <row r="294" spans="1:14" x14ac:dyDescent="0.25">
      <c r="A294" t="s">
        <v>445</v>
      </c>
    </row>
    <row r="296" spans="1:14" x14ac:dyDescent="0.25">
      <c r="A296" s="15" t="s">
        <v>537</v>
      </c>
      <c r="B296" s="15"/>
      <c r="C296" s="15"/>
      <c r="D296" s="15"/>
      <c r="E296" s="15"/>
    </row>
    <row r="297" spans="1:14" x14ac:dyDescent="0.25">
      <c r="A297" s="15"/>
      <c r="B297" s="15" t="s">
        <v>760</v>
      </c>
      <c r="C297" s="15" t="s">
        <v>761</v>
      </c>
      <c r="D297" s="15" t="s">
        <v>762</v>
      </c>
      <c r="E297" s="15" t="s">
        <v>763</v>
      </c>
      <c r="G297" s="15" t="s">
        <v>829</v>
      </c>
    </row>
    <row r="298" spans="1:14" x14ac:dyDescent="0.25">
      <c r="A298" s="15" t="s">
        <v>800</v>
      </c>
      <c r="B298" s="15">
        <v>4000</v>
      </c>
      <c r="C298" s="15"/>
      <c r="D298" s="15"/>
      <c r="E298" s="15"/>
    </row>
    <row r="299" spans="1:14" x14ac:dyDescent="0.25">
      <c r="A299" s="15" t="s">
        <v>91</v>
      </c>
      <c r="B299" s="15">
        <v>20</v>
      </c>
      <c r="C299" s="15"/>
      <c r="D299" s="15"/>
      <c r="E299" s="15"/>
    </row>
    <row r="300" spans="1:14" x14ac:dyDescent="0.25">
      <c r="A300" s="15" t="s">
        <v>764</v>
      </c>
      <c r="B300" s="15"/>
      <c r="C300" s="15">
        <f>AVERAGE(35,50,85)</f>
        <v>56.666666666666664</v>
      </c>
      <c r="D300" s="15"/>
      <c r="E300" s="15"/>
    </row>
    <row r="301" spans="1:14" x14ac:dyDescent="0.25">
      <c r="A301" s="15" t="s">
        <v>118</v>
      </c>
      <c r="B301" s="15"/>
      <c r="C301" s="15">
        <f>AVERAGE(35,52,95)</f>
        <v>60.666666666666664</v>
      </c>
      <c r="D301" s="15"/>
      <c r="E301" s="15"/>
    </row>
    <row r="302" spans="1:14" x14ac:dyDescent="0.25">
      <c r="A302" s="15" t="s">
        <v>353</v>
      </c>
      <c r="B302" s="15"/>
      <c r="C302" s="15"/>
      <c r="D302" s="15"/>
      <c r="E302" s="15"/>
    </row>
    <row r="303" spans="1:14" x14ac:dyDescent="0.25">
      <c r="A303" s="15" t="s">
        <v>100</v>
      </c>
      <c r="B303" s="15"/>
      <c r="C303" s="15"/>
      <c r="D303" s="15">
        <f>AVERAGE(10,15,27)</f>
        <v>17.333333333333332</v>
      </c>
      <c r="E303" s="15"/>
    </row>
    <row r="304" spans="1:14" x14ac:dyDescent="0.25">
      <c r="A304" s="15" t="s">
        <v>97</v>
      </c>
      <c r="B304" s="15"/>
      <c r="C304" s="15"/>
      <c r="D304" s="15">
        <f>AVERAGE(3,4,7)</f>
        <v>4.666666666666667</v>
      </c>
      <c r="E304" s="15"/>
    </row>
    <row r="305" spans="1:16" x14ac:dyDescent="0.25">
      <c r="A305" s="15" t="s">
        <v>765</v>
      </c>
      <c r="B305" s="15"/>
      <c r="C305" s="15"/>
      <c r="D305" s="15">
        <f>AVERAGE(22,35,60)</f>
        <v>39</v>
      </c>
      <c r="E305" s="15"/>
    </row>
    <row r="306" spans="1:16" x14ac:dyDescent="0.25">
      <c r="A306" s="15" t="s">
        <v>800</v>
      </c>
      <c r="B306" s="15"/>
      <c r="C306" s="15"/>
      <c r="D306" s="15"/>
      <c r="E306" s="15">
        <v>150</v>
      </c>
    </row>
    <row r="307" spans="1:16" x14ac:dyDescent="0.25">
      <c r="A307" s="15" t="s">
        <v>99</v>
      </c>
      <c r="B307" s="15"/>
      <c r="C307" s="15"/>
      <c r="D307" s="15"/>
      <c r="E307" s="15">
        <v>48</v>
      </c>
    </row>
    <row r="308" spans="1:16" x14ac:dyDescent="0.25">
      <c r="A308" s="15" t="s">
        <v>348</v>
      </c>
      <c r="B308" s="15">
        <v>7.5</v>
      </c>
      <c r="C308" s="15">
        <v>7.5</v>
      </c>
      <c r="D308" s="15">
        <v>7.5</v>
      </c>
      <c r="E308" s="15">
        <v>7.5</v>
      </c>
    </row>
    <row r="309" spans="1:16" x14ac:dyDescent="0.25">
      <c r="A309" s="15"/>
      <c r="B309" s="15"/>
      <c r="C309" s="15"/>
      <c r="D309" s="15"/>
      <c r="E309" s="15"/>
    </row>
    <row r="311" spans="1:16" x14ac:dyDescent="0.25">
      <c r="A311" s="5" t="s">
        <v>806</v>
      </c>
      <c r="B311" s="5"/>
      <c r="C311" s="5"/>
      <c r="D311" s="5"/>
      <c r="E311" s="5"/>
      <c r="F311" s="5"/>
      <c r="G311" s="5"/>
      <c r="H311" s="5"/>
      <c r="I311" s="5"/>
      <c r="J311" s="5"/>
      <c r="K311" s="5"/>
      <c r="L311" s="5"/>
      <c r="M311" s="5"/>
      <c r="N311" s="5"/>
    </row>
    <row r="312" spans="1:16" x14ac:dyDescent="0.25">
      <c r="A312" s="89" t="s">
        <v>805</v>
      </c>
      <c r="B312" s="5"/>
      <c r="C312" s="5"/>
      <c r="D312" s="5"/>
      <c r="E312" s="5"/>
      <c r="F312" s="5"/>
      <c r="G312" s="5"/>
      <c r="H312" s="5"/>
      <c r="I312" s="5"/>
      <c r="J312" s="5"/>
      <c r="K312" s="5"/>
      <c r="L312" s="5"/>
      <c r="M312" s="5"/>
      <c r="N312" s="5"/>
    </row>
    <row r="313" spans="1:16" x14ac:dyDescent="0.25">
      <c r="M313" s="83"/>
    </row>
    <row r="314" spans="1:16" x14ac:dyDescent="0.25">
      <c r="A314" t="s">
        <v>815</v>
      </c>
      <c r="P314" s="83"/>
    </row>
    <row r="315" spans="1:16" x14ac:dyDescent="0.25">
      <c r="P315" s="83"/>
    </row>
    <row r="316" spans="1:16" x14ac:dyDescent="0.25">
      <c r="A316" s="15" t="s">
        <v>537</v>
      </c>
      <c r="B316" s="15"/>
      <c r="P316" s="83"/>
    </row>
    <row r="317" spans="1:16" x14ac:dyDescent="0.25">
      <c r="A317" s="15"/>
      <c r="B317" s="15" t="s">
        <v>760</v>
      </c>
      <c r="P317" s="83"/>
    </row>
    <row r="318" spans="1:16" x14ac:dyDescent="0.25">
      <c r="A318" s="15" t="s">
        <v>91</v>
      </c>
      <c r="B318" s="15">
        <v>20</v>
      </c>
      <c r="P318" s="83"/>
    </row>
    <row r="319" spans="1:16" x14ac:dyDescent="0.25">
      <c r="P319" s="83"/>
    </row>
    <row r="320" spans="1:16" x14ac:dyDescent="0.25">
      <c r="P320" s="83"/>
    </row>
    <row r="321" spans="1:16" x14ac:dyDescent="0.25">
      <c r="A321" s="5" t="s">
        <v>582</v>
      </c>
      <c r="B321" s="5"/>
      <c r="C321" s="5"/>
      <c r="D321" s="5"/>
      <c r="E321" s="5"/>
      <c r="F321" s="5"/>
      <c r="G321" s="5"/>
      <c r="H321" s="5"/>
      <c r="I321" s="5"/>
      <c r="J321" s="5"/>
      <c r="K321" s="5"/>
      <c r="L321" s="5"/>
      <c r="M321" s="5"/>
      <c r="N321" s="5"/>
      <c r="P321" s="83"/>
    </row>
    <row r="322" spans="1:16" x14ac:dyDescent="0.25">
      <c r="A322" s="29" t="s">
        <v>581</v>
      </c>
      <c r="B322" s="5"/>
      <c r="C322" s="5"/>
      <c r="D322" s="5"/>
      <c r="E322" s="5"/>
      <c r="F322" s="5"/>
      <c r="G322" s="5"/>
      <c r="H322" s="5"/>
      <c r="I322" s="5"/>
      <c r="J322" s="5"/>
      <c r="K322" s="5"/>
      <c r="L322" s="5"/>
      <c r="M322" s="5"/>
      <c r="N322" s="5"/>
    </row>
    <row r="323" spans="1:16" x14ac:dyDescent="0.25">
      <c r="A323" s="18" t="s">
        <v>583</v>
      </c>
      <c r="P323" s="83"/>
    </row>
    <row r="324" spans="1:16" x14ac:dyDescent="0.25">
      <c r="A324" t="s">
        <v>807</v>
      </c>
      <c r="P324" s="83"/>
    </row>
    <row r="325" spans="1:16" x14ac:dyDescent="0.25">
      <c r="P325" s="83"/>
    </row>
    <row r="326" spans="1:16" x14ac:dyDescent="0.25">
      <c r="P326" s="83" t="s">
        <v>772</v>
      </c>
    </row>
    <row r="327" spans="1:16" x14ac:dyDescent="0.25">
      <c r="A327" t="s">
        <v>537</v>
      </c>
      <c r="P327" s="83"/>
    </row>
    <row r="328" spans="1:16" x14ac:dyDescent="0.25">
      <c r="B328" t="s">
        <v>760</v>
      </c>
      <c r="C328" t="s">
        <v>762</v>
      </c>
      <c r="D328" t="s">
        <v>761</v>
      </c>
    </row>
    <row r="329" spans="1:16" x14ac:dyDescent="0.25">
      <c r="A329" t="s">
        <v>91</v>
      </c>
      <c r="B329">
        <v>20</v>
      </c>
    </row>
    <row r="330" spans="1:16" x14ac:dyDescent="0.25">
      <c r="A330" t="s">
        <v>97</v>
      </c>
      <c r="B330">
        <v>9</v>
      </c>
    </row>
    <row r="331" spans="1:16" x14ac:dyDescent="0.25">
      <c r="A331" t="s">
        <v>100</v>
      </c>
      <c r="C331">
        <v>28</v>
      </c>
    </row>
    <row r="332" spans="1:16" x14ac:dyDescent="0.25">
      <c r="A332" t="s">
        <v>765</v>
      </c>
      <c r="C332">
        <v>41</v>
      </c>
    </row>
    <row r="333" spans="1:16" x14ac:dyDescent="0.25">
      <c r="A333" t="s">
        <v>764</v>
      </c>
      <c r="D333">
        <v>60</v>
      </c>
    </row>
    <row r="334" spans="1:16" x14ac:dyDescent="0.25">
      <c r="A334" t="s">
        <v>118</v>
      </c>
      <c r="D334">
        <v>17</v>
      </c>
    </row>
    <row r="345" spans="1:14" x14ac:dyDescent="0.25">
      <c r="A345" s="88" t="s">
        <v>808</v>
      </c>
      <c r="B345" s="6"/>
      <c r="C345" s="6"/>
      <c r="D345" s="6"/>
      <c r="E345" s="6"/>
      <c r="F345" s="6"/>
      <c r="G345" s="6"/>
      <c r="H345" s="6"/>
      <c r="I345" s="6"/>
      <c r="J345" s="6"/>
      <c r="K345" s="6"/>
      <c r="L345" s="6"/>
      <c r="M345" s="6"/>
      <c r="N345" s="6"/>
    </row>
    <row r="346" spans="1:14" x14ac:dyDescent="0.25">
      <c r="A346" s="6" t="s">
        <v>809</v>
      </c>
      <c r="B346" s="6"/>
      <c r="C346" s="6"/>
      <c r="D346" s="6"/>
      <c r="E346" s="6"/>
      <c r="F346" s="6"/>
      <c r="G346" s="6"/>
      <c r="H346" s="6"/>
      <c r="I346" s="6"/>
      <c r="J346" s="6"/>
      <c r="K346" s="6"/>
      <c r="L346" s="6"/>
      <c r="M346" s="6"/>
      <c r="N346" s="6"/>
    </row>
    <row r="347" spans="1:14" x14ac:dyDescent="0.25">
      <c r="A347" s="18" t="s">
        <v>810</v>
      </c>
    </row>
    <row r="350" spans="1:14" x14ac:dyDescent="0.25">
      <c r="A350" t="s">
        <v>811</v>
      </c>
    </row>
    <row r="353" spans="1:14" x14ac:dyDescent="0.25">
      <c r="A353" s="5" t="s">
        <v>812</v>
      </c>
      <c r="B353" s="5"/>
      <c r="C353" s="5"/>
      <c r="D353" s="5"/>
      <c r="E353" s="5"/>
      <c r="F353" s="5"/>
      <c r="G353" s="5"/>
      <c r="H353" s="5"/>
      <c r="I353" s="5"/>
      <c r="J353" s="5"/>
      <c r="K353" s="5"/>
      <c r="L353" s="5"/>
      <c r="M353" s="5"/>
      <c r="N353" s="5"/>
    </row>
    <row r="354" spans="1:14" x14ac:dyDescent="0.25">
      <c r="A354" s="5" t="s">
        <v>813</v>
      </c>
      <c r="B354" s="5"/>
      <c r="C354" s="5"/>
      <c r="D354" s="5"/>
      <c r="E354" s="5"/>
      <c r="F354" s="5"/>
      <c r="G354" s="5"/>
      <c r="H354" s="5"/>
      <c r="I354" s="5"/>
      <c r="J354" s="5"/>
      <c r="K354" s="5"/>
      <c r="L354" s="5"/>
      <c r="M354" s="5"/>
      <c r="N354" s="5"/>
    </row>
    <row r="355" spans="1:14" x14ac:dyDescent="0.25">
      <c r="A355" s="18" t="s">
        <v>814</v>
      </c>
    </row>
    <row r="356" spans="1:14" x14ac:dyDescent="0.25">
      <c r="A356" t="s">
        <v>575</v>
      </c>
    </row>
    <row r="358" spans="1:14" x14ac:dyDescent="0.25">
      <c r="A358" s="15" t="s">
        <v>537</v>
      </c>
      <c r="B358" s="15"/>
      <c r="C358" s="15"/>
      <c r="D358" s="15"/>
    </row>
    <row r="359" spans="1:14" x14ac:dyDescent="0.25">
      <c r="A359" s="15"/>
      <c r="B359" s="15" t="s">
        <v>760</v>
      </c>
      <c r="C359" s="15" t="s">
        <v>762</v>
      </c>
      <c r="D359" s="15" t="s">
        <v>761</v>
      </c>
    </row>
    <row r="360" spans="1:14" x14ac:dyDescent="0.25">
      <c r="A360" s="15" t="s">
        <v>100</v>
      </c>
      <c r="B360" s="15"/>
      <c r="C360" s="15">
        <f>AVERAGE(28,13,7)</f>
        <v>16</v>
      </c>
      <c r="D360" s="15"/>
    </row>
    <row r="361" spans="1:14" x14ac:dyDescent="0.25">
      <c r="A361" s="15" t="s">
        <v>97</v>
      </c>
      <c r="B361" s="15"/>
      <c r="C361" s="15">
        <f>AVERAGE(9,4,2)</f>
        <v>5</v>
      </c>
      <c r="D361" s="15"/>
    </row>
    <row r="362" spans="1:14" x14ac:dyDescent="0.25">
      <c r="A362" s="15" t="s">
        <v>765</v>
      </c>
      <c r="B362" s="15"/>
      <c r="C362" s="15">
        <f>AVERAGE(161,41,17)</f>
        <v>73</v>
      </c>
      <c r="D362" s="15"/>
    </row>
    <row r="363" spans="1:14" x14ac:dyDescent="0.25">
      <c r="A363" s="15" t="s">
        <v>118</v>
      </c>
      <c r="B363" s="15"/>
      <c r="C363" s="15"/>
      <c r="D363" s="15">
        <f>AVERAGE(156,70,19)</f>
        <v>81.666666666666671</v>
      </c>
    </row>
    <row r="364" spans="1:14" x14ac:dyDescent="0.25">
      <c r="A364" s="15" t="s">
        <v>764</v>
      </c>
      <c r="B364" s="15"/>
      <c r="C364" s="15"/>
      <c r="D364" s="15">
        <f>AVERAGE(138,62,17)</f>
        <v>72.333333333333329</v>
      </c>
    </row>
    <row r="365" spans="1:14" x14ac:dyDescent="0.25">
      <c r="A365" s="15" t="s">
        <v>800</v>
      </c>
      <c r="B365" s="15">
        <f>AVERAGE(6629,2882,638)</f>
        <v>3383</v>
      </c>
      <c r="C365" s="15"/>
      <c r="D365" s="15"/>
    </row>
    <row r="383" spans="1:14" x14ac:dyDescent="0.25">
      <c r="A383" s="5" t="s">
        <v>528</v>
      </c>
      <c r="B383" s="5"/>
      <c r="C383" s="5"/>
      <c r="D383" s="5"/>
      <c r="E383" s="5"/>
      <c r="F383" s="5"/>
      <c r="G383" s="5"/>
      <c r="H383" s="5"/>
      <c r="I383" s="5"/>
      <c r="J383" s="5"/>
      <c r="K383" s="5"/>
      <c r="L383" s="5"/>
      <c r="M383" s="5"/>
      <c r="N383" s="5"/>
    </row>
    <row r="384" spans="1:14" x14ac:dyDescent="0.25">
      <c r="A384" s="29" t="s">
        <v>529</v>
      </c>
      <c r="B384" s="5"/>
      <c r="C384" s="5"/>
      <c r="D384" s="5"/>
      <c r="E384" s="5"/>
      <c r="F384" s="5"/>
      <c r="G384" s="5"/>
      <c r="H384" s="5"/>
      <c r="I384" s="5"/>
      <c r="J384" s="5"/>
      <c r="K384" s="5"/>
      <c r="L384" s="5"/>
      <c r="M384" s="5"/>
      <c r="N384" s="5"/>
    </row>
    <row r="385" spans="1:14" x14ac:dyDescent="0.25">
      <c r="A385" s="18" t="s">
        <v>530</v>
      </c>
    </row>
    <row r="386" spans="1:14" x14ac:dyDescent="0.25">
      <c r="A386" t="s">
        <v>445</v>
      </c>
    </row>
    <row r="388" spans="1:14" x14ac:dyDescent="0.25">
      <c r="A388" s="15" t="s">
        <v>821</v>
      </c>
      <c r="B388" s="15"/>
      <c r="C388" s="15"/>
      <c r="D388" s="15"/>
      <c r="E388" s="15"/>
    </row>
    <row r="389" spans="1:14" x14ac:dyDescent="0.25">
      <c r="A389" s="15"/>
      <c r="B389" s="15" t="s">
        <v>762</v>
      </c>
      <c r="C389" s="15" t="s">
        <v>761</v>
      </c>
      <c r="D389" s="15" t="s">
        <v>763</v>
      </c>
      <c r="E389" s="15"/>
    </row>
    <row r="390" spans="1:14" x14ac:dyDescent="0.25">
      <c r="A390" s="15" t="s">
        <v>100</v>
      </c>
      <c r="B390" s="15">
        <v>55.5</v>
      </c>
      <c r="C390" s="15">
        <v>15.5</v>
      </c>
      <c r="D390" s="15">
        <v>4</v>
      </c>
      <c r="E390" s="15"/>
    </row>
    <row r="391" spans="1:14" x14ac:dyDescent="0.25">
      <c r="A391" s="15" t="s">
        <v>764</v>
      </c>
      <c r="B391" s="15">
        <v>1.3</v>
      </c>
      <c r="C391" s="15">
        <v>116.7</v>
      </c>
      <c r="D391" s="15"/>
      <c r="E391" s="15"/>
    </row>
    <row r="392" spans="1:14" x14ac:dyDescent="0.25">
      <c r="A392" s="15" t="s">
        <v>97</v>
      </c>
      <c r="B392" s="15">
        <v>7.2</v>
      </c>
      <c r="C392" s="15"/>
      <c r="D392" s="15"/>
      <c r="E392" s="15"/>
    </row>
    <row r="393" spans="1:14" x14ac:dyDescent="0.25">
      <c r="A393" s="15" t="s">
        <v>765</v>
      </c>
      <c r="B393" s="15">
        <v>39.299999999999997</v>
      </c>
      <c r="C393" s="15"/>
      <c r="D393" s="15"/>
      <c r="E393" s="15"/>
    </row>
    <row r="394" spans="1:14" x14ac:dyDescent="0.25">
      <c r="A394" s="15" t="s">
        <v>118</v>
      </c>
      <c r="B394" s="15"/>
      <c r="C394" s="15">
        <v>99.7</v>
      </c>
      <c r="D394" s="15"/>
      <c r="E394" s="15"/>
    </row>
    <row r="398" spans="1:14" x14ac:dyDescent="0.25">
      <c r="A398" s="5" t="s">
        <v>817</v>
      </c>
      <c r="B398" s="5"/>
      <c r="C398" s="5"/>
      <c r="D398" s="5"/>
      <c r="E398" s="5"/>
      <c r="F398" s="5"/>
      <c r="G398" s="5"/>
      <c r="H398" s="5"/>
      <c r="I398" s="5"/>
      <c r="J398" s="5"/>
      <c r="K398" s="5"/>
      <c r="L398" s="5"/>
      <c r="M398" s="5"/>
      <c r="N398" s="5"/>
    </row>
    <row r="399" spans="1:14" x14ac:dyDescent="0.25">
      <c r="A399" s="90" t="s">
        <v>816</v>
      </c>
      <c r="B399" s="5"/>
      <c r="C399" s="5"/>
      <c r="D399" s="5"/>
      <c r="E399" s="5"/>
      <c r="F399" s="5"/>
      <c r="G399" s="5"/>
      <c r="H399" s="5"/>
      <c r="I399" s="5"/>
      <c r="J399" s="5"/>
      <c r="K399" s="5"/>
      <c r="L399" s="5"/>
      <c r="M399" s="5"/>
      <c r="N399" s="5"/>
    </row>
    <row r="400" spans="1:14" x14ac:dyDescent="0.25">
      <c r="A400" s="18" t="s">
        <v>822</v>
      </c>
    </row>
    <row r="401" spans="1:14" x14ac:dyDescent="0.25">
      <c r="A401" t="s">
        <v>575</v>
      </c>
    </row>
    <row r="403" spans="1:14" x14ac:dyDescent="0.25">
      <c r="A403" t="s">
        <v>537</v>
      </c>
    </row>
    <row r="404" spans="1:14" x14ac:dyDescent="0.25">
      <c r="B404" t="s">
        <v>761</v>
      </c>
      <c r="C404" t="s">
        <v>762</v>
      </c>
      <c r="D404" t="s">
        <v>823</v>
      </c>
    </row>
    <row r="405" spans="1:14" x14ac:dyDescent="0.25">
      <c r="A405" t="s">
        <v>118</v>
      </c>
      <c r="B405">
        <v>106</v>
      </c>
    </row>
    <row r="406" spans="1:14" x14ac:dyDescent="0.25">
      <c r="A406" t="s">
        <v>100</v>
      </c>
      <c r="C406">
        <v>83</v>
      </c>
    </row>
    <row r="407" spans="1:14" x14ac:dyDescent="0.25">
      <c r="A407" t="s">
        <v>99</v>
      </c>
      <c r="D407">
        <v>73</v>
      </c>
    </row>
    <row r="416" spans="1:14" x14ac:dyDescent="0.25">
      <c r="A416" s="6" t="s">
        <v>586</v>
      </c>
      <c r="B416" s="6"/>
      <c r="C416" s="6"/>
      <c r="D416" s="6"/>
      <c r="E416" s="6"/>
      <c r="F416" s="6"/>
      <c r="G416" s="6"/>
      <c r="H416" s="6"/>
      <c r="I416" s="6"/>
      <c r="J416" s="6"/>
      <c r="K416" s="6"/>
      <c r="L416" s="6"/>
      <c r="M416" s="6"/>
      <c r="N416" s="6"/>
    </row>
    <row r="417" spans="1:14" x14ac:dyDescent="0.25">
      <c r="A417" s="91" t="s">
        <v>818</v>
      </c>
      <c r="B417" s="6"/>
      <c r="C417" s="6"/>
      <c r="D417" s="6"/>
      <c r="E417" s="6"/>
      <c r="F417" s="6"/>
      <c r="G417" s="6"/>
      <c r="H417" s="6"/>
      <c r="I417" s="6"/>
      <c r="J417" s="6"/>
      <c r="K417" s="6"/>
      <c r="L417" s="6"/>
      <c r="M417" s="6"/>
      <c r="N417" s="6"/>
    </row>
    <row r="418" spans="1:14" x14ac:dyDescent="0.25">
      <c r="A418" s="18" t="s">
        <v>824</v>
      </c>
    </row>
    <row r="420" spans="1:14" x14ac:dyDescent="0.25">
      <c r="A420" t="s">
        <v>825</v>
      </c>
    </row>
    <row r="423" spans="1:14" x14ac:dyDescent="0.25">
      <c r="A423" s="6" t="s">
        <v>819</v>
      </c>
      <c r="B423" s="6"/>
      <c r="C423" s="6"/>
      <c r="D423" s="6"/>
      <c r="E423" s="6"/>
      <c r="F423" s="6"/>
      <c r="G423" s="6"/>
      <c r="H423" s="6"/>
      <c r="I423" s="6"/>
      <c r="J423" s="6"/>
      <c r="K423" s="6"/>
      <c r="L423" s="6"/>
      <c r="M423" s="6"/>
      <c r="N423" s="6"/>
    </row>
    <row r="424" spans="1:14" x14ac:dyDescent="0.25">
      <c r="A424" s="91" t="s">
        <v>820</v>
      </c>
      <c r="B424" s="6"/>
      <c r="C424" s="6"/>
      <c r="D424" s="6"/>
      <c r="E424" s="6"/>
      <c r="F424" s="6"/>
      <c r="G424" s="6"/>
      <c r="H424" s="6"/>
      <c r="I424" s="6"/>
      <c r="J424" s="6"/>
      <c r="K424" s="6"/>
      <c r="L424" s="6"/>
      <c r="M424" s="6"/>
      <c r="N424" s="6"/>
    </row>
    <row r="425" spans="1:14" x14ac:dyDescent="0.25">
      <c r="A425" s="18" t="s">
        <v>826</v>
      </c>
    </row>
    <row r="427" spans="1:14" x14ac:dyDescent="0.25">
      <c r="A427" t="s">
        <v>827</v>
      </c>
    </row>
  </sheetData>
  <mergeCells count="17">
    <mergeCell ref="A211:A212"/>
    <mergeCell ref="B211:B212"/>
    <mergeCell ref="C211:C212"/>
    <mergeCell ref="D211:D212"/>
    <mergeCell ref="E211:E212"/>
    <mergeCell ref="I211:I212"/>
    <mergeCell ref="J211:J212"/>
    <mergeCell ref="K211:K212"/>
    <mergeCell ref="B235:B236"/>
    <mergeCell ref="C235:C236"/>
    <mergeCell ref="D235:D236"/>
    <mergeCell ref="E235:E236"/>
    <mergeCell ref="F235:F236"/>
    <mergeCell ref="G235:G236"/>
    <mergeCell ref="F211:F212"/>
    <mergeCell ref="G211:G212"/>
    <mergeCell ref="H211:H212"/>
  </mergeCells>
  <hyperlinks>
    <hyperlink ref="A7" r:id="rId1" xr:uid="{00000000-0004-0000-0200-000000000000}"/>
    <hyperlink ref="A30" r:id="rId2" xr:uid="{00000000-0004-0000-0200-000001000000}"/>
    <hyperlink ref="A36" r:id="rId3" xr:uid="{00000000-0004-0000-0200-000002000000}"/>
    <hyperlink ref="A43" r:id="rId4" xr:uid="{00000000-0004-0000-0200-000003000000}"/>
    <hyperlink ref="A85" r:id="rId5" xr:uid="{00000000-0004-0000-0200-000004000000}"/>
    <hyperlink ref="A105" r:id="rId6" xr:uid="{00000000-0004-0000-0200-000005000000}"/>
    <hyperlink ref="A125" r:id="rId7" xr:uid="{00000000-0004-0000-0200-000006000000}"/>
    <hyperlink ref="A137" r:id="rId8" xr:uid="{00000000-0004-0000-0200-000007000000}"/>
    <hyperlink ref="A158" r:id="rId9" xr:uid="{00000000-0004-0000-0200-000008000000}"/>
    <hyperlink ref="A171" r:id="rId10" xr:uid="{00000000-0004-0000-0200-000009000000}"/>
    <hyperlink ref="A208" r:id="rId11" location="ec0005" xr:uid="{00000000-0004-0000-0200-00000A000000}"/>
    <hyperlink ref="A266" r:id="rId12" xr:uid="{00000000-0004-0000-0200-00000B000000}"/>
    <hyperlink ref="A293" r:id="rId13" xr:uid="{00000000-0004-0000-0200-00000C000000}"/>
    <hyperlink ref="A323" r:id="rId14" xr:uid="{00000000-0004-0000-0200-00000D000000}"/>
    <hyperlink ref="A347" r:id="rId15" xr:uid="{00000000-0004-0000-0200-00000E000000}"/>
    <hyperlink ref="A355" r:id="rId16" xr:uid="{00000000-0004-0000-0200-00000F000000}"/>
    <hyperlink ref="A385" r:id="rId17" xr:uid="{00000000-0004-0000-0200-000010000000}"/>
    <hyperlink ref="A400" r:id="rId18" xr:uid="{00000000-0004-0000-0200-000011000000}"/>
    <hyperlink ref="A418" r:id="rId19" xr:uid="{00000000-0004-0000-0200-000012000000}"/>
    <hyperlink ref="A425" r:id="rId20" xr:uid="{00000000-0004-0000-0200-000013000000}"/>
  </hyperlinks>
  <pageMargins left="0.7" right="0.7" top="0.75" bottom="0.75" header="0.3" footer="0.3"/>
  <pageSetup paperSize="9" orientation="portrait" r:id="rId21"/>
  <drawing r:id="rId2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7" tint="-0.249977111117893"/>
  </sheetPr>
  <dimension ref="A1:O133"/>
  <sheetViews>
    <sheetView topLeftCell="A34" workbookViewId="0">
      <selection activeCell="A59" sqref="A59"/>
    </sheetView>
  </sheetViews>
  <sheetFormatPr defaultRowHeight="15" x14ac:dyDescent="0.25"/>
  <cols>
    <col min="1" max="1" width="24.7109375" customWidth="1"/>
  </cols>
  <sheetData>
    <row r="1" spans="1:14" x14ac:dyDescent="0.25">
      <c r="A1" s="5" t="s">
        <v>5</v>
      </c>
      <c r="B1" s="5"/>
      <c r="C1" s="5"/>
      <c r="D1" s="5"/>
      <c r="E1" s="5"/>
      <c r="F1" s="5"/>
      <c r="G1" s="5"/>
      <c r="H1" s="5"/>
      <c r="I1" s="5"/>
      <c r="J1" s="5"/>
      <c r="K1" s="5"/>
    </row>
    <row r="2" spans="1:14" x14ac:dyDescent="0.25">
      <c r="A2" s="4" t="s">
        <v>6</v>
      </c>
      <c r="B2" s="4"/>
      <c r="C2" s="4"/>
      <c r="D2" s="4"/>
      <c r="E2" s="4"/>
      <c r="F2" s="4"/>
      <c r="G2" s="4"/>
      <c r="H2" s="4"/>
      <c r="I2" s="4"/>
      <c r="J2" s="4"/>
      <c r="K2" s="4"/>
    </row>
    <row r="3" spans="1:14" x14ac:dyDescent="0.25">
      <c r="A3" s="7" t="s">
        <v>8</v>
      </c>
      <c r="B3" s="7"/>
      <c r="C3" s="7"/>
      <c r="D3" s="7"/>
      <c r="E3" s="7"/>
      <c r="F3" s="7"/>
      <c r="G3" s="7"/>
      <c r="H3" s="7"/>
      <c r="I3" s="7"/>
      <c r="J3" s="7"/>
      <c r="K3" s="7"/>
    </row>
    <row r="5" spans="1:14" x14ac:dyDescent="0.25">
      <c r="A5" s="70" t="s">
        <v>830</v>
      </c>
      <c r="B5" s="71"/>
      <c r="C5" s="71"/>
      <c r="D5" s="71"/>
      <c r="E5" s="71"/>
      <c r="F5" s="71"/>
      <c r="G5" s="71"/>
      <c r="H5" s="71"/>
      <c r="I5" s="71"/>
      <c r="J5" s="71"/>
      <c r="K5" s="71"/>
      <c r="L5" s="5"/>
      <c r="M5" s="5"/>
      <c r="N5" s="5"/>
    </row>
    <row r="6" spans="1:14" x14ac:dyDescent="0.25">
      <c r="A6" s="70" t="s">
        <v>639</v>
      </c>
      <c r="B6" s="71"/>
      <c r="C6" s="71"/>
      <c r="D6" s="71"/>
      <c r="E6" s="71"/>
      <c r="F6" s="71"/>
      <c r="G6" s="71"/>
      <c r="H6" s="71"/>
      <c r="I6" s="71"/>
      <c r="J6" s="71"/>
      <c r="K6" s="71"/>
      <c r="L6" s="5"/>
      <c r="M6" s="5"/>
      <c r="N6" s="5"/>
    </row>
    <row r="7" spans="1:14" x14ac:dyDescent="0.25">
      <c r="A7" s="18" t="s">
        <v>832</v>
      </c>
    </row>
    <row r="8" spans="1:14" x14ac:dyDescent="0.25">
      <c r="A8" t="s">
        <v>212</v>
      </c>
    </row>
    <row r="10" spans="1:14" x14ac:dyDescent="0.25">
      <c r="A10" s="15" t="s">
        <v>537</v>
      </c>
      <c r="B10" s="15"/>
      <c r="C10" s="15"/>
      <c r="D10" s="15"/>
      <c r="E10" s="15"/>
    </row>
    <row r="11" spans="1:14" x14ac:dyDescent="0.25">
      <c r="A11" s="15"/>
      <c r="B11" s="15" t="s">
        <v>851</v>
      </c>
      <c r="C11" s="15" t="s">
        <v>852</v>
      </c>
      <c r="D11" s="15"/>
      <c r="E11" s="15"/>
    </row>
    <row r="12" spans="1:14" x14ac:dyDescent="0.25">
      <c r="A12" s="15" t="s">
        <v>236</v>
      </c>
      <c r="B12" s="15">
        <v>0</v>
      </c>
      <c r="C12" s="15">
        <v>11000</v>
      </c>
      <c r="D12" s="15"/>
      <c r="E12" s="15"/>
    </row>
    <row r="13" spans="1:14" x14ac:dyDescent="0.25">
      <c r="A13" s="15" t="s">
        <v>833</v>
      </c>
      <c r="B13" s="15">
        <v>250000</v>
      </c>
      <c r="C13" s="15">
        <v>72000</v>
      </c>
      <c r="D13" s="15"/>
      <c r="E13" s="15"/>
    </row>
    <row r="14" spans="1:14" x14ac:dyDescent="0.25">
      <c r="A14" s="15" t="s">
        <v>629</v>
      </c>
      <c r="B14" s="15">
        <v>2200</v>
      </c>
      <c r="C14" s="15">
        <v>3700</v>
      </c>
      <c r="D14" s="15"/>
      <c r="E14" s="15"/>
    </row>
    <row r="15" spans="1:14" x14ac:dyDescent="0.25">
      <c r="A15" s="15" t="s">
        <v>0</v>
      </c>
      <c r="B15" s="15">
        <v>3200</v>
      </c>
      <c r="C15" s="15">
        <v>1400</v>
      </c>
      <c r="D15" s="15"/>
      <c r="E15" s="15"/>
    </row>
    <row r="16" spans="1:14" x14ac:dyDescent="0.25">
      <c r="A16" s="15" t="s">
        <v>834</v>
      </c>
      <c r="B16" s="15">
        <v>740</v>
      </c>
      <c r="C16" s="15">
        <v>12000</v>
      </c>
      <c r="D16" s="15"/>
      <c r="E16" s="15"/>
    </row>
    <row r="17" spans="1:5" x14ac:dyDescent="0.25">
      <c r="A17" s="15" t="s">
        <v>835</v>
      </c>
      <c r="B17" s="15">
        <v>310</v>
      </c>
      <c r="C17" s="15">
        <v>0</v>
      </c>
      <c r="D17" s="15"/>
      <c r="E17" s="15"/>
    </row>
    <row r="18" spans="1:5" x14ac:dyDescent="0.25">
      <c r="A18" s="15" t="s">
        <v>836</v>
      </c>
      <c r="B18" s="15">
        <v>2500</v>
      </c>
      <c r="C18" s="15">
        <v>1800</v>
      </c>
      <c r="D18" s="15"/>
      <c r="E18" s="15"/>
    </row>
    <row r="19" spans="1:5" x14ac:dyDescent="0.25">
      <c r="A19" s="15" t="s">
        <v>837</v>
      </c>
      <c r="B19" s="15">
        <v>130000</v>
      </c>
      <c r="C19" s="15">
        <v>110000</v>
      </c>
      <c r="D19" s="15"/>
      <c r="E19" s="15"/>
    </row>
    <row r="20" spans="1:5" x14ac:dyDescent="0.25">
      <c r="A20" s="15" t="s">
        <v>244</v>
      </c>
      <c r="B20" s="15">
        <v>650000</v>
      </c>
      <c r="C20" s="15">
        <v>393000</v>
      </c>
      <c r="D20" s="15"/>
      <c r="E20" s="15"/>
    </row>
    <row r="21" spans="1:5" x14ac:dyDescent="0.25">
      <c r="A21" s="15" t="s">
        <v>838</v>
      </c>
      <c r="B21" s="15">
        <v>220000</v>
      </c>
      <c r="C21" s="15">
        <v>150000</v>
      </c>
      <c r="D21" s="15"/>
      <c r="E21" s="15"/>
    </row>
    <row r="22" spans="1:5" x14ac:dyDescent="0.25">
      <c r="A22" s="15" t="s">
        <v>839</v>
      </c>
      <c r="B22" s="15">
        <v>11000</v>
      </c>
      <c r="C22" s="15">
        <v>9400</v>
      </c>
      <c r="D22" s="15"/>
      <c r="E22" s="15"/>
    </row>
    <row r="23" spans="1:5" x14ac:dyDescent="0.25">
      <c r="A23" s="15" t="s">
        <v>840</v>
      </c>
      <c r="B23" s="15">
        <v>170000</v>
      </c>
      <c r="C23" s="15">
        <v>49000</v>
      </c>
      <c r="D23" s="15"/>
      <c r="E23" s="15"/>
    </row>
    <row r="24" spans="1:5" x14ac:dyDescent="0.25">
      <c r="A24" s="15" t="s">
        <v>841</v>
      </c>
      <c r="B24" s="15">
        <v>3000</v>
      </c>
      <c r="C24" s="15">
        <v>2600</v>
      </c>
      <c r="D24" s="15"/>
      <c r="E24" s="15"/>
    </row>
    <row r="25" spans="1:5" x14ac:dyDescent="0.25">
      <c r="A25" s="15" t="s">
        <v>630</v>
      </c>
      <c r="B25" s="15">
        <v>2000</v>
      </c>
      <c r="C25" s="15">
        <v>5700</v>
      </c>
      <c r="D25" s="15"/>
      <c r="E25" s="15"/>
    </row>
    <row r="26" spans="1:5" x14ac:dyDescent="0.25">
      <c r="A26" s="15" t="s">
        <v>631</v>
      </c>
      <c r="B26" s="15">
        <v>200</v>
      </c>
      <c r="C26" s="15">
        <v>56</v>
      </c>
      <c r="D26" s="15"/>
      <c r="E26" s="15"/>
    </row>
    <row r="27" spans="1:5" x14ac:dyDescent="0.25">
      <c r="A27" s="15" t="s">
        <v>842</v>
      </c>
      <c r="B27" s="15">
        <v>340000</v>
      </c>
      <c r="C27" s="15">
        <v>220000</v>
      </c>
      <c r="D27" s="15"/>
      <c r="E27" s="15"/>
    </row>
    <row r="28" spans="1:5" x14ac:dyDescent="0.25">
      <c r="A28" s="15" t="s">
        <v>265</v>
      </c>
      <c r="B28" s="15">
        <v>940</v>
      </c>
      <c r="C28" s="15">
        <v>1800</v>
      </c>
      <c r="D28" s="15"/>
      <c r="E28" s="15"/>
    </row>
    <row r="29" spans="1:5" x14ac:dyDescent="0.25">
      <c r="A29" s="15" t="s">
        <v>27</v>
      </c>
      <c r="B29" s="15">
        <v>0</v>
      </c>
      <c r="C29" s="15">
        <v>140</v>
      </c>
      <c r="D29" s="15"/>
      <c r="E29" s="15"/>
    </row>
    <row r="30" spans="1:5" x14ac:dyDescent="0.25">
      <c r="A30" s="15" t="s">
        <v>843</v>
      </c>
      <c r="B30" s="15">
        <v>44000</v>
      </c>
      <c r="C30" s="15">
        <v>0</v>
      </c>
      <c r="D30" s="15"/>
      <c r="E30" s="15"/>
    </row>
    <row r="31" spans="1:5" x14ac:dyDescent="0.25">
      <c r="A31" s="15" t="s">
        <v>844</v>
      </c>
      <c r="B31" s="15">
        <v>500</v>
      </c>
      <c r="C31" s="15">
        <v>0</v>
      </c>
      <c r="D31" s="15"/>
      <c r="E31" s="15"/>
    </row>
    <row r="32" spans="1:5" x14ac:dyDescent="0.25">
      <c r="A32" s="15" t="s">
        <v>845</v>
      </c>
      <c r="B32" s="15">
        <v>1300000</v>
      </c>
      <c r="C32" s="15">
        <v>5000000</v>
      </c>
      <c r="D32" s="15"/>
      <c r="E32" s="15"/>
    </row>
    <row r="33" spans="1:14" x14ac:dyDescent="0.25">
      <c r="A33" s="15" t="s">
        <v>846</v>
      </c>
      <c r="B33" s="15">
        <v>4700</v>
      </c>
      <c r="C33" s="15">
        <v>3400</v>
      </c>
      <c r="D33" s="15"/>
      <c r="E33" s="15"/>
    </row>
    <row r="34" spans="1:14" x14ac:dyDescent="0.25">
      <c r="A34" s="15" t="s">
        <v>847</v>
      </c>
      <c r="B34" s="15">
        <v>1900</v>
      </c>
      <c r="C34" s="15">
        <v>1400</v>
      </c>
      <c r="D34" s="15"/>
      <c r="E34" s="15"/>
    </row>
    <row r="35" spans="1:14" x14ac:dyDescent="0.25">
      <c r="A35" s="15" t="s">
        <v>848</v>
      </c>
      <c r="B35" s="15">
        <v>92000</v>
      </c>
      <c r="C35" s="15">
        <v>81000</v>
      </c>
      <c r="D35" s="15"/>
      <c r="E35" s="15"/>
    </row>
    <row r="36" spans="1:14" x14ac:dyDescent="0.25">
      <c r="A36" s="15" t="s">
        <v>672</v>
      </c>
      <c r="B36" s="15">
        <v>13</v>
      </c>
      <c r="C36" s="15">
        <v>16</v>
      </c>
      <c r="D36" s="15"/>
      <c r="E36" s="15"/>
    </row>
    <row r="37" spans="1:14" x14ac:dyDescent="0.25">
      <c r="A37" s="15" t="s">
        <v>849</v>
      </c>
      <c r="B37" s="15">
        <v>18000</v>
      </c>
      <c r="C37" s="15">
        <v>16000</v>
      </c>
      <c r="D37" s="15"/>
      <c r="E37" s="15"/>
    </row>
    <row r="38" spans="1:14" x14ac:dyDescent="0.25">
      <c r="A38" s="15" t="s">
        <v>235</v>
      </c>
      <c r="B38" s="15">
        <v>240000</v>
      </c>
      <c r="C38" s="15">
        <v>400000</v>
      </c>
      <c r="D38" s="15"/>
      <c r="E38" s="15"/>
    </row>
    <row r="39" spans="1:14" x14ac:dyDescent="0.25">
      <c r="A39" s="15" t="s">
        <v>850</v>
      </c>
      <c r="B39" s="15">
        <v>25</v>
      </c>
      <c r="C39" s="15">
        <v>0</v>
      </c>
      <c r="D39" s="15"/>
      <c r="E39" s="15"/>
    </row>
    <row r="40" spans="1:14" x14ac:dyDescent="0.25">
      <c r="A40" s="15" t="s">
        <v>675</v>
      </c>
      <c r="B40" s="15">
        <v>1.9</v>
      </c>
      <c r="C40" s="15">
        <v>1.7</v>
      </c>
      <c r="D40" s="15"/>
      <c r="E40" s="15"/>
    </row>
    <row r="41" spans="1:14" x14ac:dyDescent="0.25">
      <c r="A41" s="15" t="s">
        <v>632</v>
      </c>
      <c r="B41" s="15">
        <v>650</v>
      </c>
      <c r="C41" s="15">
        <v>1400</v>
      </c>
      <c r="D41" s="15"/>
      <c r="E41" s="15"/>
    </row>
    <row r="45" spans="1:14" x14ac:dyDescent="0.25">
      <c r="A45" s="6" t="s">
        <v>528</v>
      </c>
      <c r="B45" s="6"/>
      <c r="C45" s="6"/>
      <c r="D45" s="6"/>
      <c r="E45" s="6"/>
      <c r="F45" s="6"/>
      <c r="G45" s="6"/>
      <c r="H45" s="6"/>
      <c r="I45" s="6"/>
      <c r="J45" s="6"/>
      <c r="K45" s="6"/>
      <c r="L45" s="6"/>
      <c r="M45" s="6"/>
      <c r="N45" s="6"/>
    </row>
    <row r="46" spans="1:14" x14ac:dyDescent="0.25">
      <c r="A46" s="30" t="s">
        <v>529</v>
      </c>
      <c r="B46" s="6"/>
      <c r="C46" s="6"/>
      <c r="D46" s="6"/>
      <c r="E46" s="6"/>
      <c r="F46" s="6"/>
      <c r="G46" s="6"/>
      <c r="H46" s="6"/>
      <c r="I46" s="6"/>
      <c r="J46" s="6"/>
      <c r="K46" s="6"/>
      <c r="L46" s="6"/>
      <c r="M46" s="6"/>
      <c r="N46" s="6"/>
    </row>
    <row r="47" spans="1:14" x14ac:dyDescent="0.25">
      <c r="A47" s="18" t="s">
        <v>530</v>
      </c>
    </row>
    <row r="48" spans="1:14" x14ac:dyDescent="0.25">
      <c r="A48" t="s">
        <v>853</v>
      </c>
    </row>
    <row r="50" spans="1:15" x14ac:dyDescent="0.25">
      <c r="A50" s="15" t="s">
        <v>821</v>
      </c>
      <c r="B50" s="15"/>
      <c r="C50" s="15"/>
      <c r="D50" s="15"/>
    </row>
    <row r="51" spans="1:15" x14ac:dyDescent="0.25">
      <c r="A51" s="15"/>
      <c r="B51" s="15" t="s">
        <v>854</v>
      </c>
      <c r="C51" s="15" t="s">
        <v>856</v>
      </c>
      <c r="D51" s="15" t="s">
        <v>855</v>
      </c>
    </row>
    <row r="52" spans="1:15" x14ac:dyDescent="0.25">
      <c r="A52" s="15" t="s">
        <v>91</v>
      </c>
      <c r="B52" s="15">
        <v>5.53</v>
      </c>
      <c r="C52" s="15">
        <v>13.88</v>
      </c>
      <c r="D52" s="15">
        <v>6.25</v>
      </c>
    </row>
    <row r="55" spans="1:15" x14ac:dyDescent="0.25">
      <c r="A55" t="s">
        <v>858</v>
      </c>
    </row>
    <row r="59" spans="1:15" x14ac:dyDescent="0.25">
      <c r="A59" s="5" t="s">
        <v>862</v>
      </c>
      <c r="B59" s="5"/>
      <c r="C59" s="5"/>
      <c r="D59" s="5"/>
      <c r="E59" s="5"/>
      <c r="F59" s="5"/>
      <c r="G59" s="5"/>
      <c r="H59" s="5"/>
      <c r="I59" s="5"/>
      <c r="J59" s="5"/>
      <c r="K59" s="5"/>
      <c r="L59" s="5"/>
      <c r="M59" s="5"/>
      <c r="N59" s="5"/>
      <c r="O59" s="5"/>
    </row>
    <row r="60" spans="1:15" x14ac:dyDescent="0.25">
      <c r="A60" s="5" t="s">
        <v>857</v>
      </c>
      <c r="B60" s="5"/>
      <c r="C60" s="5"/>
      <c r="D60" s="5"/>
      <c r="E60" s="5"/>
      <c r="F60" s="5"/>
      <c r="G60" s="5"/>
      <c r="H60" s="5"/>
      <c r="I60" s="5"/>
      <c r="J60" s="5"/>
      <c r="K60" s="5"/>
      <c r="L60" s="5"/>
      <c r="M60" s="5"/>
      <c r="N60" s="5"/>
      <c r="O60" s="5"/>
    </row>
    <row r="61" spans="1:15" x14ac:dyDescent="0.25">
      <c r="A61" s="18" t="s">
        <v>859</v>
      </c>
    </row>
    <row r="63" spans="1:15" x14ac:dyDescent="0.25">
      <c r="A63" s="15" t="s">
        <v>537</v>
      </c>
      <c r="B63" s="15"/>
      <c r="C63" s="15"/>
      <c r="D63" s="15"/>
    </row>
    <row r="64" spans="1:15" x14ac:dyDescent="0.25">
      <c r="A64" s="15"/>
      <c r="B64" s="15" t="s">
        <v>856</v>
      </c>
      <c r="C64" s="15" t="s">
        <v>854</v>
      </c>
      <c r="D64" s="15" t="s">
        <v>852</v>
      </c>
    </row>
    <row r="65" spans="1:15" x14ac:dyDescent="0.25">
      <c r="A65" s="15" t="s">
        <v>91</v>
      </c>
      <c r="B65" s="15">
        <v>13.75</v>
      </c>
      <c r="C65" s="15">
        <v>3.75</v>
      </c>
      <c r="D65" s="15">
        <v>7.57</v>
      </c>
    </row>
    <row r="66" spans="1:15" x14ac:dyDescent="0.25">
      <c r="A66" s="15"/>
      <c r="B66" s="15"/>
      <c r="C66" s="15"/>
      <c r="D66" s="15"/>
    </row>
    <row r="67" spans="1:15" x14ac:dyDescent="0.25">
      <c r="A67" s="15"/>
      <c r="B67" s="15"/>
      <c r="C67" s="15"/>
      <c r="D67" s="15"/>
    </row>
    <row r="75" spans="1:15" x14ac:dyDescent="0.25">
      <c r="A75" s="6" t="s">
        <v>831</v>
      </c>
      <c r="B75" s="6"/>
      <c r="C75" s="6"/>
      <c r="D75" s="6"/>
      <c r="E75" s="6"/>
      <c r="F75" s="6"/>
      <c r="G75" s="6"/>
      <c r="H75" s="6"/>
      <c r="I75" s="6"/>
      <c r="J75" s="6"/>
      <c r="K75" s="6"/>
      <c r="L75" s="6"/>
      <c r="M75" s="6"/>
      <c r="N75" s="6"/>
      <c r="O75" s="6"/>
    </row>
    <row r="76" spans="1:15" x14ac:dyDescent="0.25">
      <c r="A76" s="6" t="s">
        <v>860</v>
      </c>
      <c r="B76" s="6"/>
      <c r="C76" s="6"/>
      <c r="D76" s="6"/>
      <c r="E76" s="6"/>
      <c r="F76" s="6"/>
      <c r="G76" s="6"/>
      <c r="H76" s="6"/>
      <c r="I76" s="6"/>
      <c r="J76" s="6"/>
      <c r="K76" s="6"/>
      <c r="L76" s="6"/>
      <c r="M76" s="6"/>
      <c r="N76" s="6"/>
      <c r="O76" s="6"/>
    </row>
    <row r="77" spans="1:15" x14ac:dyDescent="0.25">
      <c r="A77" s="18"/>
    </row>
    <row r="78" spans="1:15" x14ac:dyDescent="0.25">
      <c r="A78" t="s">
        <v>861</v>
      </c>
    </row>
    <row r="81" spans="1:15" x14ac:dyDescent="0.25">
      <c r="A81" s="5" t="s">
        <v>558</v>
      </c>
      <c r="B81" s="5"/>
      <c r="C81" s="5"/>
      <c r="D81" s="5"/>
      <c r="E81" s="5"/>
      <c r="F81" s="5"/>
      <c r="G81" s="5"/>
      <c r="H81" s="5"/>
      <c r="I81" s="5"/>
      <c r="J81" s="5"/>
      <c r="K81" s="5"/>
      <c r="L81" s="5"/>
      <c r="M81" s="5"/>
      <c r="N81" s="5"/>
      <c r="O81" s="5"/>
    </row>
    <row r="82" spans="1:15" x14ac:dyDescent="0.25">
      <c r="A82" s="5" t="s">
        <v>557</v>
      </c>
      <c r="B82" s="5"/>
      <c r="C82" s="5"/>
      <c r="D82" s="5"/>
      <c r="E82" s="5"/>
      <c r="F82" s="5"/>
      <c r="G82" s="5"/>
      <c r="H82" s="5"/>
      <c r="I82" s="5"/>
      <c r="J82" s="5"/>
      <c r="K82" s="5"/>
      <c r="L82" s="5"/>
      <c r="M82" s="5"/>
      <c r="N82" s="5"/>
      <c r="O82" s="5"/>
    </row>
    <row r="83" spans="1:15" x14ac:dyDescent="0.25">
      <c r="A83" s="18" t="s">
        <v>559</v>
      </c>
    </row>
    <row r="84" spans="1:15" x14ac:dyDescent="0.25">
      <c r="A84" t="s">
        <v>863</v>
      </c>
    </row>
    <row r="86" spans="1:15" x14ac:dyDescent="0.25">
      <c r="A86" t="s">
        <v>537</v>
      </c>
    </row>
    <row r="87" spans="1:15" x14ac:dyDescent="0.25">
      <c r="B87" t="s">
        <v>854</v>
      </c>
    </row>
    <row r="88" spans="1:15" x14ac:dyDescent="0.25">
      <c r="A88" t="s">
        <v>91</v>
      </c>
      <c r="B88">
        <f>AVERAGE(6.3,6.7)</f>
        <v>6.5</v>
      </c>
    </row>
    <row r="91" spans="1:15" x14ac:dyDescent="0.25">
      <c r="A91" s="64" t="s">
        <v>626</v>
      </c>
      <c r="B91" s="63"/>
      <c r="C91" s="63"/>
      <c r="D91" s="63"/>
      <c r="E91" s="63"/>
      <c r="F91" s="63"/>
      <c r="G91" s="63"/>
      <c r="H91" s="63"/>
      <c r="I91" s="63"/>
      <c r="J91" s="63"/>
      <c r="K91" s="63"/>
      <c r="L91" s="6"/>
      <c r="M91" s="6"/>
      <c r="N91" s="6"/>
      <c r="O91" s="6"/>
    </row>
    <row r="92" spans="1:15" x14ac:dyDescent="0.25">
      <c r="A92" s="64" t="s">
        <v>625</v>
      </c>
      <c r="B92" s="63"/>
      <c r="C92" s="63"/>
      <c r="D92" s="63"/>
      <c r="E92" s="63"/>
      <c r="F92" s="63"/>
      <c r="G92" s="63"/>
      <c r="H92" s="63"/>
      <c r="I92" s="63"/>
      <c r="J92" s="63"/>
      <c r="K92" s="63"/>
      <c r="L92" s="6"/>
      <c r="M92" s="6"/>
      <c r="N92" s="6"/>
      <c r="O92" s="6"/>
    </row>
    <row r="93" spans="1:15" x14ac:dyDescent="0.25">
      <c r="A93" s="18" t="s">
        <v>627</v>
      </c>
    </row>
    <row r="94" spans="1:15" x14ac:dyDescent="0.25">
      <c r="A94" t="s">
        <v>864</v>
      </c>
    </row>
    <row r="97" spans="1:15" x14ac:dyDescent="0.25">
      <c r="A97" t="s">
        <v>865</v>
      </c>
    </row>
    <row r="107" spans="1:15" x14ac:dyDescent="0.25">
      <c r="A107" s="5" t="s">
        <v>868</v>
      </c>
      <c r="B107" s="5"/>
      <c r="C107" s="5"/>
      <c r="D107" s="5"/>
      <c r="E107" s="5"/>
      <c r="F107" s="5"/>
      <c r="G107" s="5"/>
      <c r="H107" s="5"/>
      <c r="I107" s="5"/>
      <c r="J107" s="5"/>
      <c r="K107" s="5"/>
      <c r="L107" s="5"/>
      <c r="M107" s="5"/>
      <c r="N107" s="5"/>
      <c r="O107" s="5"/>
    </row>
    <row r="108" spans="1:15" x14ac:dyDescent="0.25">
      <c r="A108" s="5" t="s">
        <v>866</v>
      </c>
      <c r="B108" s="5" t="s">
        <v>867</v>
      </c>
      <c r="C108" s="5"/>
      <c r="D108" s="5"/>
      <c r="E108" s="5"/>
      <c r="F108" s="5"/>
      <c r="G108" s="5"/>
      <c r="H108" s="5"/>
      <c r="I108" s="5"/>
      <c r="J108" s="5"/>
      <c r="K108" s="5"/>
      <c r="L108" s="5"/>
      <c r="M108" s="5"/>
      <c r="N108" s="5"/>
      <c r="O108" s="5"/>
    </row>
    <row r="109" spans="1:15" x14ac:dyDescent="0.25">
      <c r="A109" s="18" t="s">
        <v>869</v>
      </c>
    </row>
    <row r="110" spans="1:15" x14ac:dyDescent="0.25">
      <c r="A110" t="s">
        <v>870</v>
      </c>
    </row>
    <row r="112" spans="1:15" x14ac:dyDescent="0.25">
      <c r="A112" t="s">
        <v>537</v>
      </c>
    </row>
    <row r="113" spans="1:15" x14ac:dyDescent="0.25">
      <c r="B113" t="s">
        <v>856</v>
      </c>
      <c r="C113" t="s">
        <v>854</v>
      </c>
      <c r="D113" t="s">
        <v>852</v>
      </c>
    </row>
    <row r="114" spans="1:15" x14ac:dyDescent="0.25">
      <c r="A114" t="s">
        <v>91</v>
      </c>
      <c r="B114">
        <v>10</v>
      </c>
      <c r="C114">
        <v>4</v>
      </c>
      <c r="D114">
        <v>8</v>
      </c>
    </row>
    <row r="128" spans="1:15" x14ac:dyDescent="0.25">
      <c r="A128" s="5" t="s">
        <v>871</v>
      </c>
      <c r="B128" s="5"/>
      <c r="C128" s="5"/>
      <c r="D128" s="5"/>
      <c r="E128" s="5"/>
      <c r="F128" s="5"/>
      <c r="G128" s="5"/>
      <c r="H128" s="5"/>
      <c r="I128" s="5"/>
      <c r="J128" s="5"/>
      <c r="K128" s="5"/>
      <c r="L128" s="5"/>
      <c r="M128" s="5"/>
      <c r="N128" s="5"/>
      <c r="O128" s="5"/>
    </row>
    <row r="129" spans="1:15" x14ac:dyDescent="0.25">
      <c r="A129" s="5"/>
      <c r="B129" s="5"/>
      <c r="C129" s="5"/>
      <c r="D129" s="5"/>
      <c r="E129" s="5"/>
      <c r="F129" s="5"/>
      <c r="G129" s="5"/>
      <c r="H129" s="5"/>
      <c r="I129" s="5"/>
      <c r="J129" s="5"/>
      <c r="K129" s="5"/>
      <c r="L129" s="5"/>
      <c r="M129" s="5"/>
      <c r="N129" s="5"/>
      <c r="O129" s="5"/>
    </row>
    <row r="130" spans="1:15" x14ac:dyDescent="0.25">
      <c r="A130" s="18" t="s">
        <v>872</v>
      </c>
    </row>
    <row r="133" spans="1:15" x14ac:dyDescent="0.25">
      <c r="A133" t="s">
        <v>873</v>
      </c>
    </row>
  </sheetData>
  <hyperlinks>
    <hyperlink ref="A7" r:id="rId1" xr:uid="{00000000-0004-0000-0300-000000000000}"/>
    <hyperlink ref="A47" r:id="rId2" xr:uid="{00000000-0004-0000-0300-000001000000}"/>
    <hyperlink ref="A61" r:id="rId3" xr:uid="{00000000-0004-0000-0300-000002000000}"/>
    <hyperlink ref="A83" r:id="rId4" xr:uid="{00000000-0004-0000-0300-000003000000}"/>
    <hyperlink ref="A93" r:id="rId5" xr:uid="{00000000-0004-0000-0300-000004000000}"/>
    <hyperlink ref="A109" r:id="rId6" xr:uid="{00000000-0004-0000-0300-000005000000}"/>
    <hyperlink ref="A130" r:id="rId7" xr:uid="{00000000-0004-0000-0300-000006000000}"/>
  </hyperlinks>
  <pageMargins left="0.7" right="0.7" top="0.75" bottom="0.75" header="0.3" footer="0.3"/>
  <drawing r:id="rId8"/>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9" tint="-0.249977111117893"/>
  </sheetPr>
  <dimension ref="A1:N153"/>
  <sheetViews>
    <sheetView topLeftCell="A118" workbookViewId="0">
      <selection activeCell="A128" sqref="A128"/>
    </sheetView>
  </sheetViews>
  <sheetFormatPr defaultRowHeight="15" x14ac:dyDescent="0.25"/>
  <cols>
    <col min="1" max="1" width="12.28515625" customWidth="1"/>
    <col min="2" max="2" width="19.42578125" customWidth="1"/>
  </cols>
  <sheetData>
    <row r="1" spans="1:14" x14ac:dyDescent="0.25">
      <c r="A1" s="5" t="s">
        <v>5</v>
      </c>
      <c r="B1" s="5"/>
      <c r="C1" s="5"/>
      <c r="D1" s="5"/>
      <c r="E1" s="5"/>
      <c r="F1" s="5"/>
      <c r="G1" s="5"/>
      <c r="H1" s="5"/>
      <c r="I1" s="5"/>
      <c r="J1" s="5"/>
      <c r="K1" s="5"/>
    </row>
    <row r="2" spans="1:14" x14ac:dyDescent="0.25">
      <c r="A2" s="4" t="s">
        <v>6</v>
      </c>
      <c r="B2" s="4"/>
      <c r="C2" s="4"/>
      <c r="D2" s="4"/>
      <c r="E2" s="4"/>
      <c r="F2" s="4"/>
      <c r="G2" s="4"/>
      <c r="H2" s="4"/>
      <c r="I2" s="4"/>
      <c r="J2" s="4"/>
      <c r="K2" s="4"/>
    </row>
    <row r="3" spans="1:14" x14ac:dyDescent="0.25">
      <c r="A3" s="7" t="s">
        <v>8</v>
      </c>
      <c r="B3" s="7"/>
      <c r="C3" s="7"/>
      <c r="D3" s="7"/>
      <c r="E3" s="7"/>
      <c r="F3" s="7"/>
      <c r="G3" s="7"/>
      <c r="H3" s="7"/>
      <c r="I3" s="7"/>
      <c r="J3" s="7"/>
      <c r="K3" s="7"/>
    </row>
    <row r="5" spans="1:14" x14ac:dyDescent="0.25">
      <c r="A5" s="5" t="s">
        <v>558</v>
      </c>
      <c r="B5" s="5"/>
      <c r="C5" s="5"/>
      <c r="D5" s="5"/>
      <c r="E5" s="5"/>
      <c r="F5" s="5"/>
      <c r="G5" s="5"/>
      <c r="H5" s="5"/>
      <c r="I5" s="5"/>
      <c r="J5" s="5"/>
      <c r="K5" s="5"/>
      <c r="L5" s="5"/>
      <c r="M5" s="5"/>
      <c r="N5" s="5"/>
    </row>
    <row r="6" spans="1:14" x14ac:dyDescent="0.25">
      <c r="A6" s="29" t="s">
        <v>557</v>
      </c>
      <c r="B6" s="5"/>
      <c r="C6" s="5"/>
      <c r="D6" s="5"/>
      <c r="E6" s="5"/>
      <c r="F6" s="5"/>
      <c r="G6" s="5"/>
      <c r="H6" s="5"/>
      <c r="I6" s="5"/>
      <c r="J6" s="5"/>
      <c r="K6" s="5"/>
      <c r="L6" s="5"/>
      <c r="M6" s="5"/>
      <c r="N6" s="5"/>
    </row>
    <row r="7" spans="1:14" x14ac:dyDescent="0.25">
      <c r="A7" s="18" t="s">
        <v>559</v>
      </c>
    </row>
    <row r="8" spans="1:14" x14ac:dyDescent="0.25">
      <c r="A8" t="s">
        <v>874</v>
      </c>
    </row>
    <row r="10" spans="1:14" x14ac:dyDescent="0.25">
      <c r="A10" s="15" t="s">
        <v>537</v>
      </c>
      <c r="C10" s="15"/>
      <c r="D10" s="15"/>
    </row>
    <row r="11" spans="1:14" x14ac:dyDescent="0.25">
      <c r="B11" s="15" t="s">
        <v>885</v>
      </c>
      <c r="C11" s="15"/>
      <c r="D11" s="15"/>
    </row>
    <row r="12" spans="1:14" x14ac:dyDescent="0.25">
      <c r="A12" s="15" t="s">
        <v>764</v>
      </c>
      <c r="B12" s="15">
        <v>0.5</v>
      </c>
      <c r="C12" s="15"/>
      <c r="D12" s="15"/>
    </row>
    <row r="13" spans="1:14" x14ac:dyDescent="0.25">
      <c r="A13" s="15" t="s">
        <v>349</v>
      </c>
      <c r="B13" s="15">
        <v>108.4</v>
      </c>
      <c r="C13" s="15">
        <f>B13+B14</f>
        <v>426.70000000000005</v>
      </c>
      <c r="D13" s="15"/>
    </row>
    <row r="14" spans="1:14" x14ac:dyDescent="0.25">
      <c r="A14" s="15" t="s">
        <v>349</v>
      </c>
      <c r="B14" s="15">
        <v>318.3</v>
      </c>
      <c r="C14" s="15"/>
      <c r="D14" s="15"/>
    </row>
    <row r="15" spans="1:14" x14ac:dyDescent="0.25">
      <c r="A15" s="15" t="s">
        <v>95</v>
      </c>
      <c r="B15" s="15"/>
      <c r="C15" s="15"/>
      <c r="D15" s="15"/>
    </row>
    <row r="16" spans="1:14" x14ac:dyDescent="0.25">
      <c r="A16" s="15" t="s">
        <v>353</v>
      </c>
      <c r="B16" s="15">
        <v>59.6</v>
      </c>
      <c r="C16" s="15"/>
      <c r="D16" s="15"/>
    </row>
    <row r="17" spans="1:4" x14ac:dyDescent="0.25">
      <c r="A17" s="15" t="s">
        <v>98</v>
      </c>
      <c r="B17" s="15"/>
      <c r="C17" s="15"/>
      <c r="D17" s="15"/>
    </row>
    <row r="18" spans="1:4" x14ac:dyDescent="0.25">
      <c r="A18" s="15" t="s">
        <v>875</v>
      </c>
      <c r="B18" s="15">
        <v>0.5</v>
      </c>
      <c r="C18" s="15"/>
      <c r="D18" s="15"/>
    </row>
    <row r="19" spans="1:4" x14ac:dyDescent="0.25">
      <c r="A19" s="15" t="s">
        <v>100</v>
      </c>
      <c r="B19" s="15">
        <v>1.6</v>
      </c>
      <c r="C19" s="15"/>
      <c r="D19" s="15"/>
    </row>
    <row r="20" spans="1:4" x14ac:dyDescent="0.25">
      <c r="A20" s="15" t="s">
        <v>356</v>
      </c>
      <c r="B20" s="15">
        <v>4.3</v>
      </c>
      <c r="C20" s="15"/>
      <c r="D20" s="15"/>
    </row>
    <row r="21" spans="1:4" x14ac:dyDescent="0.25">
      <c r="A21" s="15" t="s">
        <v>103</v>
      </c>
      <c r="B21" s="15">
        <v>70.8</v>
      </c>
      <c r="C21" s="15"/>
      <c r="D21" s="15"/>
    </row>
    <row r="22" spans="1:4" x14ac:dyDescent="0.25">
      <c r="A22" s="15" t="s">
        <v>352</v>
      </c>
      <c r="B22" s="15">
        <v>255.5</v>
      </c>
      <c r="C22" s="15"/>
      <c r="D22" s="15"/>
    </row>
    <row r="23" spans="1:4" x14ac:dyDescent="0.25">
      <c r="A23" s="15" t="s">
        <v>104</v>
      </c>
      <c r="B23" s="15">
        <v>2</v>
      </c>
      <c r="C23" s="15"/>
      <c r="D23" s="15"/>
    </row>
    <row r="24" spans="1:4" x14ac:dyDescent="0.25">
      <c r="A24" s="15" t="s">
        <v>110</v>
      </c>
      <c r="B24" s="15"/>
      <c r="C24" s="15"/>
      <c r="D24" s="15"/>
    </row>
    <row r="25" spans="1:4" x14ac:dyDescent="0.25">
      <c r="A25" s="15" t="s">
        <v>91</v>
      </c>
      <c r="B25" s="15">
        <v>8.3000000000000007</v>
      </c>
      <c r="C25" s="15"/>
      <c r="D25" s="15"/>
    </row>
    <row r="26" spans="1:4" x14ac:dyDescent="0.25">
      <c r="A26" s="15" t="s">
        <v>114</v>
      </c>
      <c r="B26" s="15">
        <v>4.5999999999999996</v>
      </c>
      <c r="C26" s="15"/>
      <c r="D26" s="15"/>
    </row>
    <row r="27" spans="1:4" x14ac:dyDescent="0.25">
      <c r="A27" s="15" t="s">
        <v>456</v>
      </c>
      <c r="B27" s="15">
        <v>1.5</v>
      </c>
      <c r="C27" s="15"/>
      <c r="D27" s="15"/>
    </row>
    <row r="28" spans="1:4" x14ac:dyDescent="0.25">
      <c r="A28" s="15" t="s">
        <v>119</v>
      </c>
      <c r="B28" s="15">
        <v>5</v>
      </c>
      <c r="C28" s="15"/>
      <c r="D28" s="15"/>
    </row>
    <row r="29" spans="1:4" x14ac:dyDescent="0.25">
      <c r="A29" s="15" t="s">
        <v>876</v>
      </c>
      <c r="B29" s="15">
        <v>174.4</v>
      </c>
      <c r="C29" s="15"/>
      <c r="D29" s="15"/>
    </row>
    <row r="30" spans="1:4" x14ac:dyDescent="0.25">
      <c r="A30" s="15" t="s">
        <v>877</v>
      </c>
      <c r="B30" s="15">
        <v>0.6</v>
      </c>
      <c r="C30" s="15"/>
      <c r="D30" s="15"/>
    </row>
    <row r="31" spans="1:4" x14ac:dyDescent="0.25">
      <c r="A31" s="15" t="s">
        <v>120</v>
      </c>
      <c r="B31" s="15">
        <v>0.5</v>
      </c>
      <c r="C31" s="15"/>
      <c r="D31" s="15"/>
    </row>
    <row r="32" spans="1:4" x14ac:dyDescent="0.25">
      <c r="A32" s="15" t="s">
        <v>121</v>
      </c>
      <c r="B32" s="15">
        <v>30.5</v>
      </c>
    </row>
    <row r="34" spans="1:13" x14ac:dyDescent="0.25">
      <c r="A34" s="5" t="s">
        <v>654</v>
      </c>
      <c r="B34" s="5"/>
      <c r="C34" s="5"/>
      <c r="D34" s="5"/>
      <c r="E34" s="5"/>
      <c r="F34" s="5"/>
      <c r="G34" s="5"/>
      <c r="H34" s="5"/>
      <c r="I34" s="5"/>
      <c r="J34" s="5"/>
      <c r="K34" s="5"/>
      <c r="L34" s="5"/>
      <c r="M34" s="5"/>
    </row>
    <row r="35" spans="1:13" x14ac:dyDescent="0.25">
      <c r="A35" s="5" t="s">
        <v>655</v>
      </c>
      <c r="B35" s="5"/>
      <c r="C35" s="5"/>
      <c r="D35" s="5"/>
      <c r="E35" s="5"/>
      <c r="F35" s="5"/>
      <c r="G35" s="5"/>
      <c r="H35" s="5"/>
      <c r="I35" s="5"/>
      <c r="J35" s="5"/>
      <c r="K35" s="5"/>
      <c r="L35" s="5"/>
      <c r="M35" s="5"/>
    </row>
    <row r="36" spans="1:13" x14ac:dyDescent="0.25">
      <c r="A36" s="18" t="s">
        <v>676</v>
      </c>
    </row>
    <row r="37" spans="1:13" x14ac:dyDescent="0.25">
      <c r="A37" t="s">
        <v>677</v>
      </c>
    </row>
    <row r="38" spans="1:13" ht="15.75" thickBot="1" x14ac:dyDescent="0.3"/>
    <row r="39" spans="1:13" x14ac:dyDescent="0.25">
      <c r="A39" s="218" t="s">
        <v>656</v>
      </c>
      <c r="B39" s="218" t="s">
        <v>657</v>
      </c>
      <c r="C39" s="218" t="s">
        <v>658</v>
      </c>
      <c r="D39" s="218" t="s">
        <v>659</v>
      </c>
      <c r="E39" s="218" t="s">
        <v>660</v>
      </c>
      <c r="F39" s="218" t="s">
        <v>661</v>
      </c>
      <c r="G39" s="218" t="s">
        <v>662</v>
      </c>
      <c r="H39" s="218" t="s">
        <v>663</v>
      </c>
      <c r="I39" s="218" t="s">
        <v>664</v>
      </c>
      <c r="J39" s="218" t="s">
        <v>665</v>
      </c>
      <c r="K39" s="218" t="s">
        <v>666</v>
      </c>
      <c r="L39" s="72" t="s">
        <v>667</v>
      </c>
    </row>
    <row r="40" spans="1:13" ht="15.75" thickBot="1" x14ac:dyDescent="0.3">
      <c r="A40" s="219"/>
      <c r="B40" s="219"/>
      <c r="C40" s="219"/>
      <c r="D40" s="219"/>
      <c r="E40" s="219"/>
      <c r="F40" s="219"/>
      <c r="G40" s="219"/>
      <c r="H40" s="219"/>
      <c r="I40" s="219"/>
      <c r="J40" s="219"/>
      <c r="K40" s="219"/>
      <c r="L40" s="73" t="s">
        <v>668</v>
      </c>
    </row>
    <row r="41" spans="1:13" x14ac:dyDescent="0.25">
      <c r="A41" s="74" t="s">
        <v>669</v>
      </c>
      <c r="B41" s="75"/>
      <c r="C41" s="75"/>
      <c r="D41" s="75"/>
      <c r="E41" s="75"/>
      <c r="F41" s="75">
        <v>6.6100000000000004E-3</v>
      </c>
      <c r="G41" s="75">
        <v>0.26500000000000001</v>
      </c>
      <c r="H41" s="75">
        <v>0.24426</v>
      </c>
      <c r="I41" s="75"/>
      <c r="J41" s="75"/>
      <c r="K41" s="75"/>
      <c r="L41" s="75"/>
    </row>
    <row r="42" spans="1:13" x14ac:dyDescent="0.25">
      <c r="A42" s="74" t="s">
        <v>629</v>
      </c>
      <c r="B42" s="75">
        <v>2.2000000000000002</v>
      </c>
      <c r="C42" s="75">
        <v>3.7</v>
      </c>
      <c r="D42" s="75"/>
      <c r="E42" s="75"/>
      <c r="F42" s="75">
        <v>0.63400000000000001</v>
      </c>
      <c r="G42" s="75"/>
      <c r="H42" s="75">
        <v>6.0999999999999999E-2</v>
      </c>
      <c r="I42" s="75">
        <v>0.3589</v>
      </c>
      <c r="J42" s="75">
        <v>0.29355999999999999</v>
      </c>
      <c r="K42" s="75">
        <v>0.35</v>
      </c>
      <c r="L42" s="75">
        <v>1.5</v>
      </c>
    </row>
    <row r="43" spans="1:13" x14ac:dyDescent="0.25">
      <c r="A43" s="74" t="s">
        <v>0</v>
      </c>
      <c r="B43" s="75">
        <v>3.2</v>
      </c>
      <c r="C43" s="75">
        <v>1.4</v>
      </c>
      <c r="D43" s="75">
        <v>0.82499999999999996</v>
      </c>
      <c r="E43" s="75">
        <v>0.94299999999999995</v>
      </c>
      <c r="F43" s="75">
        <v>1.0049999999999999</v>
      </c>
      <c r="G43" s="75">
        <v>0.45</v>
      </c>
      <c r="H43" s="75">
        <v>5.1806999999999999</v>
      </c>
      <c r="I43" s="75">
        <v>1.012</v>
      </c>
      <c r="J43" s="75">
        <v>1.484</v>
      </c>
      <c r="K43" s="75">
        <v>1.345</v>
      </c>
      <c r="L43" s="75">
        <v>1.05</v>
      </c>
    </row>
    <row r="44" spans="1:13" x14ac:dyDescent="0.25">
      <c r="A44" s="74" t="s">
        <v>22</v>
      </c>
      <c r="B44" s="75"/>
      <c r="C44" s="75"/>
      <c r="D44" s="75"/>
      <c r="E44" s="75"/>
      <c r="F44" s="75"/>
      <c r="G44" s="75">
        <v>0.124</v>
      </c>
      <c r="H44" s="75"/>
      <c r="I44" s="75"/>
      <c r="J44" s="75"/>
      <c r="K44" s="75"/>
      <c r="L44" s="75"/>
    </row>
    <row r="45" spans="1:13" x14ac:dyDescent="0.25">
      <c r="A45" s="74" t="s">
        <v>23</v>
      </c>
      <c r="B45" s="75"/>
      <c r="C45" s="75"/>
      <c r="D45" s="75"/>
      <c r="E45" s="75"/>
      <c r="F45" s="75">
        <v>1.341E-2</v>
      </c>
      <c r="G45" s="75">
        <v>5.5E-2</v>
      </c>
      <c r="H45" s="75"/>
      <c r="I45" s="75"/>
      <c r="J45" s="75"/>
      <c r="K45" s="75"/>
      <c r="L45" s="75"/>
    </row>
    <row r="46" spans="1:13" x14ac:dyDescent="0.25">
      <c r="A46" s="74" t="s">
        <v>670</v>
      </c>
      <c r="B46" s="75"/>
      <c r="C46" s="75"/>
      <c r="D46" s="75">
        <v>5.5300000000000002E-3</v>
      </c>
      <c r="E46" s="75">
        <v>6.3200000000000001E-3</v>
      </c>
      <c r="F46" s="75"/>
      <c r="G46" s="75"/>
      <c r="H46" s="75">
        <v>7.7999999999999996E-3</v>
      </c>
      <c r="I46" s="75"/>
      <c r="J46" s="75"/>
      <c r="K46" s="75">
        <v>0.04</v>
      </c>
      <c r="L46" s="75">
        <v>0.3</v>
      </c>
    </row>
    <row r="47" spans="1:13" x14ac:dyDescent="0.25">
      <c r="A47" s="74" t="s">
        <v>631</v>
      </c>
      <c r="B47" s="75">
        <v>0.2</v>
      </c>
      <c r="C47" s="75">
        <v>5.6000000000000001E-2</v>
      </c>
      <c r="F47" s="75">
        <v>1.0619999999999999E-2</v>
      </c>
      <c r="G47" s="75">
        <v>0.109</v>
      </c>
      <c r="H47" s="75">
        <v>5.0000000000000001E-4</v>
      </c>
      <c r="I47" s="75">
        <v>7.5300000000000006E-2</v>
      </c>
      <c r="J47" s="75">
        <v>7.5314999999999993E-2</v>
      </c>
      <c r="K47" s="75"/>
      <c r="L47" s="75">
        <v>0.25</v>
      </c>
    </row>
    <row r="48" spans="1:13" x14ac:dyDescent="0.25">
      <c r="A48" s="74" t="s">
        <v>265</v>
      </c>
      <c r="B48" s="75">
        <v>0.94</v>
      </c>
      <c r="C48" s="75">
        <v>1.8</v>
      </c>
      <c r="D48" s="75">
        <v>1.2999999999999999E-3</v>
      </c>
      <c r="E48" s="75">
        <v>1.2999999999999999E-3</v>
      </c>
      <c r="F48" s="75">
        <v>0.33400000000000002</v>
      </c>
      <c r="G48" s="75"/>
      <c r="H48" s="75">
        <v>1.559E-2</v>
      </c>
      <c r="I48" s="75">
        <v>0.37659999999999999</v>
      </c>
      <c r="J48" s="75">
        <v>0.37657000000000002</v>
      </c>
      <c r="K48" s="75">
        <v>0.3</v>
      </c>
      <c r="L48" s="75"/>
    </row>
    <row r="49" spans="1:12" x14ac:dyDescent="0.25">
      <c r="A49" s="74" t="s">
        <v>27</v>
      </c>
      <c r="B49" s="75"/>
      <c r="C49" s="75"/>
      <c r="D49" s="75"/>
      <c r="E49" s="75"/>
      <c r="F49" s="75"/>
      <c r="G49" s="75"/>
      <c r="H49" s="75"/>
      <c r="I49" s="75">
        <v>3.7699999999999997E-2</v>
      </c>
      <c r="J49" s="75">
        <v>3.7657000000000003E-2</v>
      </c>
      <c r="K49" s="75"/>
      <c r="L49" s="75"/>
    </row>
    <row r="50" spans="1:12" x14ac:dyDescent="0.25">
      <c r="A50" s="74" t="s">
        <v>671</v>
      </c>
      <c r="B50" s="75"/>
      <c r="C50" s="75"/>
      <c r="D50" s="75"/>
      <c r="E50" s="75"/>
      <c r="F50" s="75"/>
      <c r="G50" s="75">
        <v>0.11</v>
      </c>
      <c r="H50" s="75"/>
      <c r="I50" s="75"/>
      <c r="J50" s="75"/>
      <c r="K50" s="75"/>
      <c r="L50" s="75"/>
    </row>
    <row r="51" spans="1:12" x14ac:dyDescent="0.25">
      <c r="A51" s="74" t="s">
        <v>672</v>
      </c>
      <c r="B51" s="75">
        <v>1.342E-2</v>
      </c>
      <c r="C51" s="75">
        <v>1.702E-2</v>
      </c>
      <c r="D51" s="75">
        <v>5.8999999999999997E-2</v>
      </c>
      <c r="E51" s="75">
        <v>6.8169999999999994E-2</v>
      </c>
      <c r="F51" s="75"/>
      <c r="G51" s="75"/>
      <c r="H51" s="75"/>
      <c r="I51" s="75"/>
      <c r="J51" s="75"/>
      <c r="K51" s="75"/>
      <c r="L51" s="75"/>
    </row>
    <row r="52" spans="1:12" x14ac:dyDescent="0.25">
      <c r="A52" s="74" t="s">
        <v>673</v>
      </c>
      <c r="B52" s="75"/>
      <c r="C52" s="75"/>
      <c r="D52" s="75"/>
      <c r="E52" s="75"/>
      <c r="F52" s="75">
        <v>7.4999999999999997E-3</v>
      </c>
      <c r="G52" s="75"/>
      <c r="H52" s="75">
        <v>0.24287</v>
      </c>
      <c r="I52" s="75"/>
      <c r="J52" s="75"/>
      <c r="K52" s="75"/>
      <c r="L52" s="75"/>
    </row>
    <row r="53" spans="1:12" x14ac:dyDescent="0.25">
      <c r="A53" s="74" t="s">
        <v>674</v>
      </c>
      <c r="B53" s="75"/>
      <c r="C53" s="75"/>
      <c r="D53" s="75"/>
      <c r="E53" s="75"/>
      <c r="F53" s="75">
        <v>0.14321</v>
      </c>
      <c r="G53" s="75"/>
      <c r="H53" s="75"/>
      <c r="I53" s="75"/>
      <c r="J53" s="75"/>
      <c r="K53" s="75"/>
      <c r="L53" s="75"/>
    </row>
    <row r="54" spans="1:12" x14ac:dyDescent="0.25">
      <c r="A54" s="74" t="s">
        <v>675</v>
      </c>
      <c r="B54" s="75">
        <v>1.9E-3</v>
      </c>
      <c r="C54" s="75">
        <v>1.6999999999999999E-3</v>
      </c>
      <c r="D54" s="75"/>
      <c r="E54" s="75"/>
      <c r="F54" s="75"/>
      <c r="G54" s="75"/>
      <c r="H54" s="75"/>
      <c r="I54" s="75">
        <v>9.0399999999999994E-2</v>
      </c>
      <c r="J54" s="75">
        <v>9.0378700000000006E-2</v>
      </c>
      <c r="K54" s="75"/>
      <c r="L54" s="75"/>
    </row>
    <row r="55" spans="1:12" x14ac:dyDescent="0.25">
      <c r="A55" s="74" t="s">
        <v>632</v>
      </c>
      <c r="B55" s="75">
        <v>0.65</v>
      </c>
      <c r="C55" s="75">
        <v>1.4</v>
      </c>
      <c r="D55" s="75">
        <v>1.562E-2</v>
      </c>
      <c r="E55" s="75">
        <v>1.7850000000000001E-2</v>
      </c>
      <c r="F55" s="75"/>
      <c r="G55" s="75">
        <v>0.121</v>
      </c>
      <c r="H55" s="75"/>
      <c r="I55" s="75"/>
      <c r="J55" s="75"/>
      <c r="K55" s="75"/>
      <c r="L55" s="75">
        <v>0.4</v>
      </c>
    </row>
    <row r="56" spans="1:12" x14ac:dyDescent="0.25">
      <c r="A56" s="74" t="s">
        <v>30</v>
      </c>
      <c r="B56" s="75"/>
      <c r="C56" s="75"/>
      <c r="D56" s="75"/>
      <c r="E56" s="75"/>
      <c r="F56" s="75"/>
      <c r="G56" s="75"/>
      <c r="H56" s="75"/>
      <c r="I56" s="75">
        <v>1.2999999999999999E-3</v>
      </c>
      <c r="J56" s="75">
        <v>3.0800000000000001E-2</v>
      </c>
      <c r="K56" s="75"/>
      <c r="L56" s="75"/>
    </row>
    <row r="57" spans="1:12" x14ac:dyDescent="0.25">
      <c r="A57" s="74" t="s">
        <v>26</v>
      </c>
      <c r="B57" s="75"/>
      <c r="C57" s="75"/>
      <c r="D57" s="75"/>
      <c r="E57" s="75"/>
      <c r="F57" s="75"/>
      <c r="G57" s="75"/>
      <c r="H57" s="75"/>
      <c r="I57" s="75">
        <v>6.1999999999999998E-3</v>
      </c>
      <c r="J57" s="75">
        <v>0.15092</v>
      </c>
      <c r="K57" s="75"/>
      <c r="L57" s="75"/>
    </row>
    <row r="58" spans="1:12" x14ac:dyDescent="0.25">
      <c r="A58" s="74" t="s">
        <v>34</v>
      </c>
      <c r="B58" s="75"/>
      <c r="C58" s="75"/>
      <c r="D58" s="75"/>
      <c r="E58" s="75"/>
      <c r="F58" s="75"/>
      <c r="G58" s="75"/>
      <c r="H58" s="75"/>
      <c r="I58" s="75">
        <v>2.9999999999999997E-4</v>
      </c>
      <c r="J58" s="75">
        <v>6.1599999999999997E-3</v>
      </c>
      <c r="K58" s="75"/>
      <c r="L58" s="75"/>
    </row>
    <row r="59" spans="1:12" ht="15.75" thickBot="1" x14ac:dyDescent="0.3">
      <c r="A59" s="76" t="s">
        <v>18</v>
      </c>
      <c r="B59" s="77"/>
      <c r="C59" s="77"/>
      <c r="D59" s="77"/>
      <c r="E59" s="77"/>
      <c r="F59" s="77"/>
      <c r="G59" s="77"/>
      <c r="H59" s="77"/>
      <c r="I59" s="77">
        <v>8.9999999999999998E-4</v>
      </c>
      <c r="J59" s="77">
        <v>2.1559999999999999E-2</v>
      </c>
      <c r="K59" s="77"/>
      <c r="L59" s="77"/>
    </row>
    <row r="62" spans="1:12" ht="15.75" thickBot="1" x14ac:dyDescent="0.3">
      <c r="A62" s="78" t="s">
        <v>537</v>
      </c>
    </row>
    <row r="63" spans="1:12" x14ac:dyDescent="0.25">
      <c r="B63" s="218" t="s">
        <v>666</v>
      </c>
    </row>
    <row r="64" spans="1:12" ht="15.75" thickBot="1" x14ac:dyDescent="0.3">
      <c r="B64" s="219"/>
    </row>
    <row r="65" spans="1:13" x14ac:dyDescent="0.25">
      <c r="A65" s="74" t="s">
        <v>669</v>
      </c>
      <c r="B65">
        <f>K41*1000</f>
        <v>0</v>
      </c>
    </row>
    <row r="66" spans="1:13" x14ac:dyDescent="0.25">
      <c r="A66" s="74" t="s">
        <v>629</v>
      </c>
      <c r="B66">
        <f>K42*1000</f>
        <v>350</v>
      </c>
      <c r="M66" s="74"/>
    </row>
    <row r="67" spans="1:13" x14ac:dyDescent="0.25">
      <c r="A67" s="74" t="s">
        <v>0</v>
      </c>
      <c r="B67">
        <f t="shared" ref="B67:B82" si="0">K43*1000</f>
        <v>1345</v>
      </c>
      <c r="M67" s="74"/>
    </row>
    <row r="68" spans="1:13" x14ac:dyDescent="0.25">
      <c r="A68" s="74" t="s">
        <v>22</v>
      </c>
      <c r="B68">
        <f t="shared" si="0"/>
        <v>0</v>
      </c>
      <c r="M68" s="74"/>
    </row>
    <row r="69" spans="1:13" x14ac:dyDescent="0.25">
      <c r="A69" s="74" t="s">
        <v>23</v>
      </c>
      <c r="B69">
        <f t="shared" si="0"/>
        <v>0</v>
      </c>
      <c r="M69" s="74"/>
    </row>
    <row r="70" spans="1:13" x14ac:dyDescent="0.25">
      <c r="A70" s="74" t="s">
        <v>670</v>
      </c>
      <c r="B70">
        <f t="shared" si="0"/>
        <v>40</v>
      </c>
      <c r="M70" s="74"/>
    </row>
    <row r="71" spans="1:13" x14ac:dyDescent="0.25">
      <c r="A71" s="74" t="s">
        <v>631</v>
      </c>
      <c r="B71">
        <f t="shared" si="0"/>
        <v>0</v>
      </c>
      <c r="M71" s="74"/>
    </row>
    <row r="72" spans="1:13" x14ac:dyDescent="0.25">
      <c r="A72" s="74" t="s">
        <v>265</v>
      </c>
      <c r="B72">
        <f t="shared" si="0"/>
        <v>300</v>
      </c>
      <c r="M72" s="74"/>
    </row>
    <row r="73" spans="1:13" x14ac:dyDescent="0.25">
      <c r="A73" s="74" t="s">
        <v>27</v>
      </c>
      <c r="B73">
        <f t="shared" si="0"/>
        <v>0</v>
      </c>
      <c r="M73" s="74"/>
    </row>
    <row r="74" spans="1:13" x14ac:dyDescent="0.25">
      <c r="A74" s="74" t="s">
        <v>671</v>
      </c>
      <c r="B74">
        <f t="shared" si="0"/>
        <v>0</v>
      </c>
      <c r="M74" s="74"/>
    </row>
    <row r="75" spans="1:13" x14ac:dyDescent="0.25">
      <c r="A75" s="74" t="s">
        <v>672</v>
      </c>
      <c r="B75">
        <f t="shared" si="0"/>
        <v>0</v>
      </c>
    </row>
    <row r="76" spans="1:13" x14ac:dyDescent="0.25">
      <c r="A76" s="74" t="s">
        <v>673</v>
      </c>
      <c r="B76">
        <f t="shared" si="0"/>
        <v>0</v>
      </c>
    </row>
    <row r="77" spans="1:13" x14ac:dyDescent="0.25">
      <c r="A77" s="74" t="s">
        <v>674</v>
      </c>
      <c r="B77">
        <f t="shared" si="0"/>
        <v>0</v>
      </c>
    </row>
    <row r="78" spans="1:13" x14ac:dyDescent="0.25">
      <c r="A78" s="74" t="s">
        <v>675</v>
      </c>
      <c r="B78">
        <f t="shared" si="0"/>
        <v>0</v>
      </c>
    </row>
    <row r="79" spans="1:13" x14ac:dyDescent="0.25">
      <c r="A79" s="74" t="s">
        <v>632</v>
      </c>
      <c r="B79">
        <f t="shared" si="0"/>
        <v>0</v>
      </c>
    </row>
    <row r="80" spans="1:13" x14ac:dyDescent="0.25">
      <c r="A80" s="74" t="s">
        <v>30</v>
      </c>
      <c r="B80">
        <f t="shared" si="0"/>
        <v>0</v>
      </c>
    </row>
    <row r="81" spans="1:14" x14ac:dyDescent="0.25">
      <c r="A81" s="74" t="s">
        <v>26</v>
      </c>
      <c r="B81">
        <f t="shared" si="0"/>
        <v>0</v>
      </c>
    </row>
    <row r="82" spans="1:14" x14ac:dyDescent="0.25">
      <c r="A82" s="74" t="s">
        <v>34</v>
      </c>
      <c r="B82">
        <f t="shared" si="0"/>
        <v>0</v>
      </c>
    </row>
    <row r="83" spans="1:14" ht="15.75" thickBot="1" x14ac:dyDescent="0.3">
      <c r="A83" s="76" t="s">
        <v>18</v>
      </c>
      <c r="B83">
        <f>K59*1000</f>
        <v>0</v>
      </c>
    </row>
    <row r="86" spans="1:14" x14ac:dyDescent="0.25">
      <c r="A86" s="5" t="s">
        <v>406</v>
      </c>
      <c r="B86" s="5"/>
      <c r="C86" s="5"/>
      <c r="D86" s="5"/>
      <c r="E86" s="5"/>
      <c r="F86" s="5"/>
      <c r="G86" s="5"/>
      <c r="H86" s="5"/>
      <c r="I86" s="5"/>
      <c r="J86" s="5"/>
      <c r="K86" s="5"/>
      <c r="L86" s="5"/>
      <c r="M86" s="5"/>
      <c r="N86" s="5"/>
    </row>
    <row r="87" spans="1:14" x14ac:dyDescent="0.25">
      <c r="A87" s="29" t="s">
        <v>878</v>
      </c>
      <c r="B87" s="5"/>
      <c r="C87" s="5"/>
      <c r="D87" s="5"/>
      <c r="E87" s="5"/>
      <c r="F87" s="5"/>
      <c r="G87" s="5"/>
      <c r="H87" s="5"/>
      <c r="I87" s="5"/>
      <c r="J87" s="5"/>
      <c r="K87" s="5"/>
      <c r="L87" s="5"/>
      <c r="M87" s="5"/>
      <c r="N87" s="5"/>
    </row>
    <row r="88" spans="1:14" x14ac:dyDescent="0.25">
      <c r="A88" s="18" t="s">
        <v>879</v>
      </c>
    </row>
    <row r="89" spans="1:14" x14ac:dyDescent="0.25">
      <c r="A89" t="s">
        <v>628</v>
      </c>
    </row>
    <row r="91" spans="1:14" x14ac:dyDescent="0.25">
      <c r="B91" t="s">
        <v>537</v>
      </c>
    </row>
    <row r="92" spans="1:14" x14ac:dyDescent="0.25">
      <c r="A92" t="s">
        <v>236</v>
      </c>
      <c r="B92">
        <v>200</v>
      </c>
    </row>
    <row r="93" spans="1:14" x14ac:dyDescent="0.25">
      <c r="A93" t="s">
        <v>629</v>
      </c>
      <c r="B93">
        <v>2190</v>
      </c>
    </row>
    <row r="94" spans="1:14" x14ac:dyDescent="0.25">
      <c r="A94" t="s">
        <v>0</v>
      </c>
      <c r="B94">
        <v>1470</v>
      </c>
    </row>
    <row r="95" spans="1:14" x14ac:dyDescent="0.25">
      <c r="A95" t="s">
        <v>244</v>
      </c>
      <c r="B95">
        <v>58904</v>
      </c>
    </row>
    <row r="96" spans="1:14" x14ac:dyDescent="0.25">
      <c r="A96" t="s">
        <v>630</v>
      </c>
      <c r="B96">
        <v>75.19</v>
      </c>
    </row>
    <row r="99" spans="1:14" x14ac:dyDescent="0.25">
      <c r="A99" s="92" t="s">
        <v>698</v>
      </c>
      <c r="B99" s="6"/>
      <c r="C99" s="6"/>
      <c r="D99" s="6"/>
      <c r="E99" s="6"/>
      <c r="F99" s="6"/>
      <c r="G99" s="6"/>
      <c r="H99" s="6"/>
      <c r="I99" s="6"/>
      <c r="J99" s="6"/>
      <c r="K99" s="6"/>
      <c r="L99" s="6"/>
      <c r="M99" s="6"/>
      <c r="N99" s="6"/>
    </row>
    <row r="100" spans="1:14" x14ac:dyDescent="0.25">
      <c r="A100" s="6" t="s">
        <v>785</v>
      </c>
      <c r="B100" s="6"/>
      <c r="C100" s="6"/>
      <c r="D100" s="6"/>
      <c r="E100" s="6"/>
      <c r="F100" s="6"/>
      <c r="G100" s="6"/>
      <c r="H100" s="6"/>
      <c r="I100" s="6"/>
      <c r="J100" s="6"/>
      <c r="K100" s="6"/>
      <c r="L100" s="6"/>
      <c r="M100" s="6"/>
      <c r="N100" s="6"/>
    </row>
    <row r="101" spans="1:14" x14ac:dyDescent="0.25">
      <c r="A101" s="18" t="s">
        <v>702</v>
      </c>
    </row>
    <row r="102" spans="1:14" x14ac:dyDescent="0.25">
      <c r="A102" t="s">
        <v>880</v>
      </c>
    </row>
    <row r="104" spans="1:14" x14ac:dyDescent="0.25">
      <c r="B104" t="s">
        <v>821</v>
      </c>
      <c r="E104" t="s">
        <v>884</v>
      </c>
    </row>
    <row r="105" spans="1:14" x14ac:dyDescent="0.25">
      <c r="A105" t="s">
        <v>669</v>
      </c>
      <c r="B105">
        <v>1</v>
      </c>
    </row>
    <row r="106" spans="1:14" x14ac:dyDescent="0.25">
      <c r="A106" t="s">
        <v>629</v>
      </c>
      <c r="B106">
        <v>427</v>
      </c>
    </row>
    <row r="107" spans="1:14" x14ac:dyDescent="0.25">
      <c r="A107" t="s">
        <v>0</v>
      </c>
      <c r="B107">
        <v>60</v>
      </c>
    </row>
    <row r="108" spans="1:14" x14ac:dyDescent="0.25">
      <c r="A108" t="s">
        <v>881</v>
      </c>
      <c r="B108">
        <v>1</v>
      </c>
    </row>
    <row r="109" spans="1:14" x14ac:dyDescent="0.25">
      <c r="A109" t="s">
        <v>23</v>
      </c>
      <c r="B109">
        <v>2</v>
      </c>
    </row>
    <row r="110" spans="1:14" x14ac:dyDescent="0.25">
      <c r="A110" t="s">
        <v>670</v>
      </c>
      <c r="B110">
        <v>4</v>
      </c>
    </row>
    <row r="111" spans="1:14" x14ac:dyDescent="0.25">
      <c r="A111" t="s">
        <v>631</v>
      </c>
      <c r="B111">
        <v>71</v>
      </c>
    </row>
    <row r="112" spans="1:14" x14ac:dyDescent="0.25">
      <c r="A112" t="s">
        <v>265</v>
      </c>
      <c r="B112">
        <v>256</v>
      </c>
    </row>
    <row r="113" spans="1:14" x14ac:dyDescent="0.25">
      <c r="A113" t="s">
        <v>27</v>
      </c>
      <c r="B113">
        <v>2</v>
      </c>
    </row>
    <row r="114" spans="1:14" x14ac:dyDescent="0.25">
      <c r="A114" t="s">
        <v>672</v>
      </c>
      <c r="B114">
        <v>8</v>
      </c>
    </row>
    <row r="115" spans="1:14" x14ac:dyDescent="0.25">
      <c r="A115" t="s">
        <v>235</v>
      </c>
      <c r="B115">
        <v>468600</v>
      </c>
    </row>
    <row r="116" spans="1:14" x14ac:dyDescent="0.25">
      <c r="A116" t="s">
        <v>674</v>
      </c>
      <c r="B116">
        <v>5</v>
      </c>
    </row>
    <row r="117" spans="1:14" x14ac:dyDescent="0.25">
      <c r="A117" t="s">
        <v>882</v>
      </c>
      <c r="B117">
        <v>5</v>
      </c>
    </row>
    <row r="118" spans="1:14" x14ac:dyDescent="0.25">
      <c r="A118" t="s">
        <v>675</v>
      </c>
      <c r="B118">
        <v>1</v>
      </c>
    </row>
    <row r="119" spans="1:14" x14ac:dyDescent="0.25">
      <c r="A119" t="s">
        <v>36</v>
      </c>
      <c r="B119">
        <v>1</v>
      </c>
    </row>
    <row r="120" spans="1:14" x14ac:dyDescent="0.25">
      <c r="A120" t="s">
        <v>883</v>
      </c>
      <c r="B120">
        <v>31</v>
      </c>
    </row>
    <row r="126" spans="1:14" x14ac:dyDescent="0.25">
      <c r="A126" s="5" t="s">
        <v>1099</v>
      </c>
      <c r="B126" s="5"/>
      <c r="C126" s="5"/>
      <c r="D126" s="5"/>
      <c r="E126" s="5"/>
      <c r="F126" s="5"/>
      <c r="G126" s="5"/>
      <c r="H126" s="5"/>
      <c r="I126" s="5"/>
      <c r="J126" s="5"/>
      <c r="K126" s="5"/>
      <c r="L126" s="5"/>
      <c r="M126" s="5"/>
      <c r="N126" s="5"/>
    </row>
    <row r="127" spans="1:14" x14ac:dyDescent="0.25">
      <c r="A127" s="5" t="s">
        <v>1098</v>
      </c>
      <c r="B127" s="5"/>
      <c r="C127" s="5"/>
      <c r="D127" s="5"/>
      <c r="E127" s="5"/>
      <c r="F127" s="5"/>
      <c r="G127" s="5"/>
      <c r="H127" s="5"/>
      <c r="I127" s="5"/>
      <c r="J127" s="5"/>
      <c r="K127" s="5"/>
      <c r="L127" s="5"/>
      <c r="M127" s="5"/>
      <c r="N127" s="5"/>
    </row>
    <row r="128" spans="1:14" x14ac:dyDescent="0.25">
      <c r="A128" t="s">
        <v>1100</v>
      </c>
    </row>
    <row r="130" spans="1:3" x14ac:dyDescent="0.25">
      <c r="A130" s="15" t="s">
        <v>1101</v>
      </c>
    </row>
    <row r="132" spans="1:3" x14ac:dyDescent="0.25">
      <c r="B132" s="15" t="s">
        <v>427</v>
      </c>
      <c r="C132" s="15" t="s">
        <v>821</v>
      </c>
    </row>
    <row r="133" spans="1:3" x14ac:dyDescent="0.25">
      <c r="A133" t="s">
        <v>236</v>
      </c>
      <c r="B133">
        <f>AVERAGE(0.02,0.24)</f>
        <v>0.13</v>
      </c>
      <c r="C133" s="15">
        <f>B133*1000</f>
        <v>130</v>
      </c>
    </row>
    <row r="134" spans="1:3" x14ac:dyDescent="0.25">
      <c r="A134" t="s">
        <v>245</v>
      </c>
      <c r="B134">
        <v>0.01</v>
      </c>
      <c r="C134" s="15">
        <f t="shared" ref="C134:C153" si="1">B134*1000</f>
        <v>10</v>
      </c>
    </row>
    <row r="135" spans="1:3" x14ac:dyDescent="0.25">
      <c r="A135" t="s">
        <v>1102</v>
      </c>
      <c r="B135">
        <v>0.04</v>
      </c>
      <c r="C135" s="15">
        <f t="shared" si="1"/>
        <v>40</v>
      </c>
    </row>
    <row r="136" spans="1:3" x14ac:dyDescent="0.25">
      <c r="A136" t="s">
        <v>669</v>
      </c>
      <c r="B136">
        <v>0.01</v>
      </c>
      <c r="C136" s="15">
        <f t="shared" si="1"/>
        <v>10</v>
      </c>
    </row>
    <row r="137" spans="1:3" x14ac:dyDescent="0.25">
      <c r="A137" t="s">
        <v>1103</v>
      </c>
      <c r="B137">
        <f>AVERAGE(10,65)</f>
        <v>37.5</v>
      </c>
      <c r="C137" s="15">
        <f t="shared" si="1"/>
        <v>37500</v>
      </c>
    </row>
    <row r="138" spans="1:3" x14ac:dyDescent="0.25">
      <c r="A138" t="s">
        <v>629</v>
      </c>
      <c r="B138">
        <f>AVERAGE(0.15,0.55)</f>
        <v>0.35000000000000003</v>
      </c>
      <c r="C138" s="15">
        <f t="shared" si="1"/>
        <v>350.00000000000006</v>
      </c>
    </row>
    <row r="139" spans="1:3" x14ac:dyDescent="0.25">
      <c r="A139" t="s">
        <v>642</v>
      </c>
      <c r="B139">
        <f>AVERAGE(180,560)</f>
        <v>370</v>
      </c>
      <c r="C139" s="15">
        <f t="shared" si="1"/>
        <v>370000</v>
      </c>
    </row>
    <row r="140" spans="1:3" x14ac:dyDescent="0.25">
      <c r="A140" t="s">
        <v>0</v>
      </c>
      <c r="B140">
        <f>AVERAGE(0.69,2)</f>
        <v>1.345</v>
      </c>
      <c r="C140" s="15">
        <f t="shared" si="1"/>
        <v>1345</v>
      </c>
    </row>
    <row r="141" spans="1:3" x14ac:dyDescent="0.25">
      <c r="A141" t="s">
        <v>1104</v>
      </c>
      <c r="B141">
        <v>1.26</v>
      </c>
      <c r="C141" s="15">
        <f t="shared" si="1"/>
        <v>1260</v>
      </c>
    </row>
    <row r="142" spans="1:3" x14ac:dyDescent="0.25">
      <c r="A142" t="s">
        <v>1105</v>
      </c>
      <c r="B142">
        <f>AVERAGE(0.1,0.12)</f>
        <v>0.11</v>
      </c>
      <c r="C142" s="15">
        <f t="shared" si="1"/>
        <v>110</v>
      </c>
    </row>
    <row r="143" spans="1:3" x14ac:dyDescent="0.25">
      <c r="A143" t="s">
        <v>23</v>
      </c>
      <c r="B143">
        <v>0.01</v>
      </c>
      <c r="C143" s="15">
        <f t="shared" si="1"/>
        <v>10</v>
      </c>
    </row>
    <row r="144" spans="1:3" x14ac:dyDescent="0.25">
      <c r="A144" t="s">
        <v>1106</v>
      </c>
      <c r="B144">
        <f>AVERAGE(0.7,0.92)</f>
        <v>0.81</v>
      </c>
      <c r="C144" s="15">
        <f t="shared" si="1"/>
        <v>810</v>
      </c>
    </row>
    <row r="145" spans="1:3" x14ac:dyDescent="0.25">
      <c r="A145" t="s">
        <v>670</v>
      </c>
      <c r="B145">
        <f>AVERAGE(0.03,0.05)</f>
        <v>0.04</v>
      </c>
      <c r="C145" s="15">
        <f t="shared" si="1"/>
        <v>40</v>
      </c>
    </row>
    <row r="146" spans="1:3" x14ac:dyDescent="0.25">
      <c r="A146" t="s">
        <v>630</v>
      </c>
      <c r="B146">
        <f>AVERAGE(0.33,0.7)</f>
        <v>0.51500000000000001</v>
      </c>
      <c r="C146" s="15">
        <f t="shared" si="1"/>
        <v>515</v>
      </c>
    </row>
    <row r="147" spans="1:3" x14ac:dyDescent="0.25">
      <c r="A147" t="s">
        <v>265</v>
      </c>
      <c r="B147">
        <f>AVERAGE(0.1,0.5)</f>
        <v>0.3</v>
      </c>
      <c r="C147" s="15">
        <f t="shared" si="1"/>
        <v>300</v>
      </c>
    </row>
    <row r="148" spans="1:3" x14ac:dyDescent="0.25">
      <c r="A148" t="s">
        <v>1107</v>
      </c>
      <c r="B148">
        <f>AVERAGE(0.8,1.27)</f>
        <v>1.0350000000000001</v>
      </c>
      <c r="C148" s="15">
        <f t="shared" si="1"/>
        <v>1035.0000000000002</v>
      </c>
    </row>
    <row r="149" spans="1:3" x14ac:dyDescent="0.25">
      <c r="A149" t="s">
        <v>672</v>
      </c>
      <c r="B149">
        <f>0.01</f>
        <v>0.01</v>
      </c>
      <c r="C149" s="15">
        <f t="shared" si="1"/>
        <v>10</v>
      </c>
    </row>
    <row r="150" spans="1:3" x14ac:dyDescent="0.25">
      <c r="A150" t="s">
        <v>1108</v>
      </c>
      <c r="B150">
        <f>AVERAGE(1.56,2.1)</f>
        <v>1.83</v>
      </c>
      <c r="C150" s="15">
        <f t="shared" si="1"/>
        <v>1830</v>
      </c>
    </row>
    <row r="151" spans="1:3" x14ac:dyDescent="0.25">
      <c r="A151" t="s">
        <v>1109</v>
      </c>
      <c r="B151">
        <f>AVERAGE(0.4,0.62)</f>
        <v>0.51</v>
      </c>
      <c r="C151" s="15">
        <f t="shared" si="1"/>
        <v>510</v>
      </c>
    </row>
    <row r="152" spans="1:3" x14ac:dyDescent="0.25">
      <c r="A152" t="s">
        <v>1110</v>
      </c>
      <c r="B152">
        <f>AVERAGE(4.7,5.6)</f>
        <v>5.15</v>
      </c>
      <c r="C152" s="15">
        <f t="shared" si="1"/>
        <v>5150</v>
      </c>
    </row>
    <row r="153" spans="1:3" x14ac:dyDescent="0.25">
      <c r="A153" t="s">
        <v>883</v>
      </c>
      <c r="B153">
        <f>AVERAGE(0.2,0.4)</f>
        <v>0.30000000000000004</v>
      </c>
      <c r="C153" s="15">
        <f t="shared" si="1"/>
        <v>300.00000000000006</v>
      </c>
    </row>
  </sheetData>
  <mergeCells count="12">
    <mergeCell ref="K39:K40"/>
    <mergeCell ref="A39:A40"/>
    <mergeCell ref="B39:B40"/>
    <mergeCell ref="C39:C40"/>
    <mergeCell ref="D39:D40"/>
    <mergeCell ref="E39:E40"/>
    <mergeCell ref="F39:F40"/>
    <mergeCell ref="B63:B64"/>
    <mergeCell ref="G39:G40"/>
    <mergeCell ref="H39:H40"/>
    <mergeCell ref="I39:I40"/>
    <mergeCell ref="J39:J40"/>
  </mergeCells>
  <hyperlinks>
    <hyperlink ref="A7" r:id="rId1" xr:uid="{00000000-0004-0000-0400-000000000000}"/>
    <hyperlink ref="A36" r:id="rId2" location="ec0005" xr:uid="{00000000-0004-0000-0400-000001000000}"/>
    <hyperlink ref="A88" r:id="rId3" xr:uid="{00000000-0004-0000-0400-000002000000}"/>
    <hyperlink ref="A101" r:id="rId4" xr:uid="{00000000-0004-0000-0400-000003000000}"/>
    <hyperlink ref="A129" r:id="rId5" display="https://web.mit.edu/nse/pdf/researchstaff/forsberg/FHR%20Point%20Design%2014-002%20UCB.pdf" xr:uid="{00000000-0004-0000-0400-000004000000}"/>
  </hyperlinks>
  <pageMargins left="0.7" right="0.7" top="0.75" bottom="0.75" header="0.3" footer="0.3"/>
  <pageSetup paperSize="9" orientation="portrait" r:id="rId6"/>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9" tint="0.79998168889431442"/>
  </sheetPr>
  <dimension ref="A1:P840"/>
  <sheetViews>
    <sheetView tabSelected="1" topLeftCell="A821" zoomScaleNormal="100" workbookViewId="0">
      <selection activeCell="B842" sqref="B842"/>
    </sheetView>
  </sheetViews>
  <sheetFormatPr defaultRowHeight="15" x14ac:dyDescent="0.25"/>
  <cols>
    <col min="1" max="1" width="24.42578125" customWidth="1"/>
    <col min="2" max="2" width="24.28515625" customWidth="1"/>
    <col min="3" max="3" width="23.42578125" customWidth="1"/>
    <col min="4" max="4" width="16.28515625" customWidth="1"/>
    <col min="5" max="5" width="27.42578125" customWidth="1"/>
    <col min="6" max="6" width="13.28515625" customWidth="1"/>
    <col min="7" max="7" width="26.5703125" bestFit="1" customWidth="1"/>
  </cols>
  <sheetData>
    <row r="1" spans="1:14" x14ac:dyDescent="0.25">
      <c r="A1" s="5" t="s">
        <v>5</v>
      </c>
      <c r="B1" s="5"/>
      <c r="C1" s="5"/>
      <c r="D1" s="5"/>
      <c r="E1" s="5"/>
      <c r="F1" s="5"/>
      <c r="G1" s="5"/>
      <c r="H1" s="5"/>
      <c r="I1" s="5"/>
      <c r="J1" s="5"/>
      <c r="K1" s="5"/>
    </row>
    <row r="2" spans="1:14" x14ac:dyDescent="0.25">
      <c r="A2" s="4" t="s">
        <v>6</v>
      </c>
      <c r="B2" s="4"/>
      <c r="C2" s="4"/>
      <c r="D2" s="4"/>
      <c r="E2" s="4"/>
      <c r="F2" s="4"/>
      <c r="G2" s="4"/>
      <c r="H2" s="4"/>
      <c r="I2" s="4"/>
      <c r="J2" s="4"/>
      <c r="K2" s="4"/>
    </row>
    <row r="3" spans="1:14" x14ac:dyDescent="0.25">
      <c r="A3" s="7" t="s">
        <v>8</v>
      </c>
      <c r="B3" s="7"/>
      <c r="C3" s="7"/>
      <c r="D3" s="7"/>
      <c r="E3" s="7"/>
      <c r="F3" s="7"/>
      <c r="G3" s="7"/>
      <c r="H3" s="7"/>
      <c r="I3" s="7"/>
      <c r="J3" s="7"/>
      <c r="K3" s="7"/>
    </row>
    <row r="5" spans="1:14" x14ac:dyDescent="0.25">
      <c r="A5" s="5" t="s">
        <v>887</v>
      </c>
      <c r="B5" s="5"/>
      <c r="C5" s="5"/>
      <c r="D5" s="5"/>
      <c r="E5" s="5"/>
      <c r="F5" s="5"/>
      <c r="G5" s="5"/>
      <c r="H5" s="5"/>
      <c r="I5" s="5"/>
      <c r="J5" s="5"/>
      <c r="K5" s="5"/>
      <c r="L5" s="5"/>
      <c r="M5" s="5"/>
      <c r="N5" s="5"/>
    </row>
    <row r="6" spans="1:14" x14ac:dyDescent="0.25">
      <c r="A6" s="29" t="s">
        <v>886</v>
      </c>
      <c r="B6" s="5"/>
      <c r="C6" s="5"/>
      <c r="D6" s="5"/>
      <c r="E6" s="5"/>
      <c r="F6" s="5"/>
      <c r="G6" s="5"/>
      <c r="H6" s="5"/>
      <c r="I6" s="5"/>
      <c r="J6" s="5"/>
      <c r="K6" s="5"/>
      <c r="L6" s="5"/>
      <c r="M6" s="5"/>
      <c r="N6" s="5"/>
    </row>
    <row r="7" spans="1:14" x14ac:dyDescent="0.25">
      <c r="A7" s="18" t="s">
        <v>1338</v>
      </c>
    </row>
    <row r="8" spans="1:14" x14ac:dyDescent="0.25">
      <c r="A8" t="s">
        <v>575</v>
      </c>
    </row>
    <row r="10" spans="1:14" x14ac:dyDescent="0.25">
      <c r="A10" s="93"/>
      <c r="B10" s="93"/>
      <c r="C10" s="93"/>
      <c r="D10" s="93"/>
      <c r="E10" s="93"/>
    </row>
    <row r="11" spans="1:14" x14ac:dyDescent="0.25">
      <c r="A11" s="67" t="s">
        <v>888</v>
      </c>
      <c r="B11" s="67" t="s">
        <v>889</v>
      </c>
      <c r="C11" s="94" t="s">
        <v>890</v>
      </c>
      <c r="D11" s="67" t="s">
        <v>891</v>
      </c>
      <c r="E11" s="94" t="s">
        <v>892</v>
      </c>
    </row>
    <row r="12" spans="1:14" x14ac:dyDescent="0.25">
      <c r="A12" t="s">
        <v>893</v>
      </c>
      <c r="B12" t="s">
        <v>102</v>
      </c>
      <c r="C12" s="15">
        <f>AVERAGE(0.52,0.26)</f>
        <v>0.39</v>
      </c>
      <c r="D12">
        <f>AVERAGE(128,160)</f>
        <v>144</v>
      </c>
      <c r="E12" s="16">
        <f>C12*D12/1000</f>
        <v>5.6160000000000002E-2</v>
      </c>
    </row>
    <row r="13" spans="1:14" x14ac:dyDescent="0.25">
      <c r="A13" s="93"/>
      <c r="B13" s="93" t="s">
        <v>877</v>
      </c>
      <c r="C13" s="67">
        <f>AVERAGE(1.8,0.76)</f>
        <v>1.28</v>
      </c>
      <c r="D13" s="93">
        <f>AVERAGE(128,160)</f>
        <v>144</v>
      </c>
      <c r="E13" s="16">
        <f t="shared" ref="E13:E28" si="0">C13*D13/1000</f>
        <v>0.18431999999999998</v>
      </c>
    </row>
    <row r="14" spans="1:14" x14ac:dyDescent="0.25">
      <c r="A14" s="93" t="s">
        <v>894</v>
      </c>
      <c r="B14" s="93" t="s">
        <v>102</v>
      </c>
      <c r="C14" s="67">
        <f>AVERAGE(0.14,0.085)</f>
        <v>0.11250000000000002</v>
      </c>
      <c r="D14" s="93">
        <f>AVERAGE(104,130)</f>
        <v>117</v>
      </c>
      <c r="E14" s="16">
        <f t="shared" si="0"/>
        <v>1.3162500000000001E-2</v>
      </c>
    </row>
    <row r="15" spans="1:14" x14ac:dyDescent="0.25">
      <c r="A15" t="s">
        <v>895</v>
      </c>
      <c r="B15" t="s">
        <v>102</v>
      </c>
      <c r="C15" s="15">
        <f>AVERAGE(0.14,0.1)</f>
        <v>0.12000000000000001</v>
      </c>
      <c r="D15">
        <f>AVERAGE(104,130)</f>
        <v>117</v>
      </c>
      <c r="E15" s="16">
        <f t="shared" si="0"/>
        <v>1.404E-2</v>
      </c>
    </row>
    <row r="16" spans="1:14" x14ac:dyDescent="0.25">
      <c r="A16" s="93"/>
      <c r="B16" s="93" t="s">
        <v>352</v>
      </c>
      <c r="C16" s="67">
        <f>AVERAGE(1.2,0.87)</f>
        <v>1.0349999999999999</v>
      </c>
      <c r="D16" s="93">
        <f>AVERAGE(104,130)</f>
        <v>117</v>
      </c>
      <c r="E16" s="16">
        <f t="shared" si="0"/>
        <v>0.12109499999999998</v>
      </c>
    </row>
    <row r="17" spans="1:5" x14ac:dyDescent="0.25">
      <c r="A17" t="s">
        <v>896</v>
      </c>
      <c r="B17" t="s">
        <v>102</v>
      </c>
      <c r="C17" s="15">
        <f>AVERAGE(0.14,0.11)</f>
        <v>0.125</v>
      </c>
      <c r="D17">
        <f>AVERAGE(104,130)</f>
        <v>117</v>
      </c>
      <c r="E17" s="16">
        <f t="shared" si="0"/>
        <v>1.4625000000000001E-2</v>
      </c>
    </row>
    <row r="18" spans="1:5" x14ac:dyDescent="0.25">
      <c r="A18" s="93"/>
      <c r="B18" s="93" t="s">
        <v>95</v>
      </c>
      <c r="C18" s="67">
        <f>AVERAGE(1.2,0.96)</f>
        <v>1.08</v>
      </c>
      <c r="D18" s="93">
        <f>AVERAGE(104,130)</f>
        <v>117</v>
      </c>
      <c r="E18" s="16">
        <f t="shared" si="0"/>
        <v>0.12636</v>
      </c>
    </row>
    <row r="19" spans="1:5" x14ac:dyDescent="0.25">
      <c r="A19" s="93" t="s">
        <v>897</v>
      </c>
      <c r="B19" s="93" t="s">
        <v>352</v>
      </c>
      <c r="C19" s="67">
        <f>AVERAGE(2.4,0.95)</f>
        <v>1.6749999999999998</v>
      </c>
      <c r="D19" s="93">
        <f>AVERAGE(80,100)</f>
        <v>90</v>
      </c>
      <c r="E19" s="16">
        <f t="shared" si="0"/>
        <v>0.15074999999999997</v>
      </c>
    </row>
    <row r="20" spans="1:5" x14ac:dyDescent="0.25">
      <c r="A20" t="s">
        <v>898</v>
      </c>
      <c r="B20" t="s">
        <v>877</v>
      </c>
      <c r="C20" s="15">
        <f>AVERAGE(0.49,0.11)</f>
        <v>0.3</v>
      </c>
      <c r="D20">
        <f>AVERAGE(72,90)</f>
        <v>81</v>
      </c>
      <c r="E20" s="16">
        <f t="shared" si="0"/>
        <v>2.4300000000000002E-2</v>
      </c>
    </row>
    <row r="21" spans="1:5" x14ac:dyDescent="0.25">
      <c r="B21" t="s">
        <v>95</v>
      </c>
      <c r="C21" s="15">
        <v>8.7999999999999995E-2</v>
      </c>
      <c r="D21">
        <f t="shared" ref="D21:D22" si="1">AVERAGE(72,90)</f>
        <v>81</v>
      </c>
      <c r="E21" s="16">
        <f t="shared" si="0"/>
        <v>7.1279999999999989E-3</v>
      </c>
    </row>
    <row r="22" spans="1:5" x14ac:dyDescent="0.25">
      <c r="A22" s="93"/>
      <c r="B22" s="93" t="s">
        <v>352</v>
      </c>
      <c r="C22" s="67">
        <f>AVERAGE(4.5,2.9)</f>
        <v>3.7</v>
      </c>
      <c r="D22" s="93">
        <f t="shared" si="1"/>
        <v>81</v>
      </c>
      <c r="E22" s="16">
        <f t="shared" si="0"/>
        <v>0.29969999999999997</v>
      </c>
    </row>
    <row r="23" spans="1:5" x14ac:dyDescent="0.25">
      <c r="A23" t="s">
        <v>899</v>
      </c>
      <c r="B23" t="s">
        <v>902</v>
      </c>
      <c r="C23" s="15">
        <f>AVERAGE(1.2,0.85)</f>
        <v>1.0249999999999999</v>
      </c>
      <c r="D23">
        <f>AVERAGE(64,80)</f>
        <v>72</v>
      </c>
      <c r="E23" s="16">
        <f t="shared" si="0"/>
        <v>7.3799999999999991E-2</v>
      </c>
    </row>
    <row r="24" spans="1:5" x14ac:dyDescent="0.25">
      <c r="B24" t="s">
        <v>95</v>
      </c>
      <c r="C24" s="15">
        <f>AVERAGE(0.38,0.27)</f>
        <v>0.32500000000000001</v>
      </c>
      <c r="D24">
        <f t="shared" ref="D24:D25" si="2">AVERAGE(64,80)</f>
        <v>72</v>
      </c>
      <c r="E24" s="16">
        <f t="shared" si="0"/>
        <v>2.3400000000000001E-2</v>
      </c>
    </row>
    <row r="25" spans="1:5" x14ac:dyDescent="0.25">
      <c r="A25" s="93"/>
      <c r="B25" s="93" t="s">
        <v>352</v>
      </c>
      <c r="C25" s="67">
        <f>AVERAGE(5.2,3.6)</f>
        <v>4.4000000000000004</v>
      </c>
      <c r="D25" s="93">
        <f t="shared" si="2"/>
        <v>72</v>
      </c>
      <c r="E25" s="16">
        <f t="shared" si="0"/>
        <v>0.31680000000000003</v>
      </c>
    </row>
    <row r="26" spans="1:5" x14ac:dyDescent="0.25">
      <c r="A26" t="s">
        <v>900</v>
      </c>
      <c r="B26" t="s">
        <v>764</v>
      </c>
      <c r="C26" s="15">
        <f>AVERAGE(3.6,2.4)</f>
        <v>3</v>
      </c>
      <c r="D26">
        <f>AVERAGE(48,60)</f>
        <v>54</v>
      </c>
      <c r="E26" s="16">
        <f t="shared" si="0"/>
        <v>0.16200000000000001</v>
      </c>
    </row>
    <row r="27" spans="1:5" x14ac:dyDescent="0.25">
      <c r="A27" s="93"/>
      <c r="B27" s="93" t="s">
        <v>352</v>
      </c>
      <c r="C27" s="67">
        <f>AVERAGE(3.4,2.4)</f>
        <v>2.9</v>
      </c>
      <c r="D27" s="93">
        <f>AVERAGE(48,60)</f>
        <v>54</v>
      </c>
      <c r="E27" s="16">
        <f t="shared" si="0"/>
        <v>0.15659999999999999</v>
      </c>
    </row>
    <row r="28" spans="1:5" x14ac:dyDescent="0.25">
      <c r="A28" s="93" t="s">
        <v>901</v>
      </c>
      <c r="B28" s="93" t="s">
        <v>356</v>
      </c>
      <c r="C28" s="67">
        <f>AVERAGE(19,9)</f>
        <v>14</v>
      </c>
      <c r="D28" s="93">
        <f>AVERAGE(40,50)</f>
        <v>45</v>
      </c>
      <c r="E28" s="16">
        <f t="shared" si="0"/>
        <v>0.63</v>
      </c>
    </row>
    <row r="38" spans="1:15" x14ac:dyDescent="0.25">
      <c r="A38" s="6" t="s">
        <v>862</v>
      </c>
      <c r="B38" s="6"/>
      <c r="C38" s="6"/>
      <c r="D38" s="6"/>
      <c r="E38" s="6"/>
      <c r="F38" s="6"/>
      <c r="G38" s="6"/>
      <c r="H38" s="6"/>
      <c r="I38" s="6"/>
      <c r="J38" s="6"/>
      <c r="K38" s="6"/>
      <c r="L38" s="6"/>
      <c r="M38" s="6"/>
      <c r="N38" s="6"/>
      <c r="O38" s="6"/>
    </row>
    <row r="39" spans="1:15" x14ac:dyDescent="0.25">
      <c r="A39" s="6" t="s">
        <v>857</v>
      </c>
      <c r="B39" s="6"/>
      <c r="C39" s="6"/>
      <c r="D39" s="6"/>
      <c r="E39" s="6"/>
      <c r="F39" s="6"/>
      <c r="G39" s="6"/>
      <c r="H39" s="6"/>
      <c r="I39" s="6"/>
      <c r="J39" s="6"/>
      <c r="K39" s="6"/>
      <c r="L39" s="6"/>
      <c r="M39" s="6"/>
      <c r="N39" s="6"/>
      <c r="O39" s="6"/>
    </row>
    <row r="40" spans="1:15" x14ac:dyDescent="0.25">
      <c r="A40" s="18" t="s">
        <v>859</v>
      </c>
    </row>
    <row r="41" spans="1:15" x14ac:dyDescent="0.25">
      <c r="A41" t="s">
        <v>903</v>
      </c>
    </row>
    <row r="43" spans="1:15" x14ac:dyDescent="0.25">
      <c r="A43" t="s">
        <v>1339</v>
      </c>
    </row>
    <row r="45" spans="1:15" x14ac:dyDescent="0.25">
      <c r="A45" t="s">
        <v>904</v>
      </c>
    </row>
    <row r="46" spans="1:15" x14ac:dyDescent="0.25">
      <c r="A46" s="93"/>
      <c r="B46" s="93"/>
      <c r="C46" s="93"/>
    </row>
    <row r="47" spans="1:15" x14ac:dyDescent="0.25">
      <c r="A47" s="93" t="s">
        <v>888</v>
      </c>
      <c r="B47" s="93" t="s">
        <v>889</v>
      </c>
      <c r="C47" s="93" t="s">
        <v>905</v>
      </c>
    </row>
    <row r="48" spans="1:15" x14ac:dyDescent="0.25">
      <c r="A48" t="s">
        <v>906</v>
      </c>
      <c r="B48" t="s">
        <v>351</v>
      </c>
      <c r="C48">
        <v>3.47</v>
      </c>
    </row>
    <row r="49" spans="1:15" x14ac:dyDescent="0.25">
      <c r="A49" s="93"/>
      <c r="B49" s="93" t="s">
        <v>349</v>
      </c>
      <c r="C49" s="93">
        <v>3.23</v>
      </c>
    </row>
    <row r="50" spans="1:15" x14ac:dyDescent="0.25">
      <c r="A50" t="s">
        <v>907</v>
      </c>
      <c r="B50" t="s">
        <v>910</v>
      </c>
      <c r="C50">
        <v>1.36</v>
      </c>
    </row>
    <row r="51" spans="1:15" x14ac:dyDescent="0.25">
      <c r="A51" s="93"/>
      <c r="B51" s="93" t="s">
        <v>911</v>
      </c>
      <c r="C51" s="93">
        <v>1.36</v>
      </c>
    </row>
    <row r="52" spans="1:15" x14ac:dyDescent="0.25">
      <c r="A52" t="s">
        <v>908</v>
      </c>
      <c r="B52" t="s">
        <v>354</v>
      </c>
      <c r="C52">
        <v>0.34</v>
      </c>
    </row>
    <row r="53" spans="1:15" x14ac:dyDescent="0.25">
      <c r="A53" s="93"/>
      <c r="B53" s="93" t="s">
        <v>354</v>
      </c>
      <c r="C53" s="93">
        <v>1.02</v>
      </c>
    </row>
    <row r="54" spans="1:15" x14ac:dyDescent="0.25">
      <c r="A54" s="67" t="s">
        <v>909</v>
      </c>
      <c r="B54" s="67" t="s">
        <v>877</v>
      </c>
      <c r="C54" s="67">
        <v>2.92</v>
      </c>
    </row>
    <row r="59" spans="1:15" x14ac:dyDescent="0.25">
      <c r="A59" s="5" t="s">
        <v>913</v>
      </c>
      <c r="B59" s="5"/>
      <c r="C59" s="5"/>
      <c r="D59" s="5"/>
      <c r="E59" s="5"/>
      <c r="F59" s="5"/>
      <c r="G59" s="5"/>
      <c r="H59" s="5"/>
      <c r="I59" s="5"/>
      <c r="J59" s="5"/>
      <c r="K59" s="5"/>
      <c r="L59" s="5"/>
      <c r="M59" s="5"/>
      <c r="N59" s="5"/>
      <c r="O59" s="5"/>
    </row>
    <row r="60" spans="1:15" x14ac:dyDescent="0.25">
      <c r="A60" s="5" t="s">
        <v>914</v>
      </c>
      <c r="B60" s="5"/>
      <c r="C60" s="5"/>
      <c r="D60" s="5"/>
      <c r="E60" s="5"/>
      <c r="F60" s="5"/>
      <c r="G60" s="5"/>
      <c r="H60" s="5"/>
      <c r="I60" s="5"/>
      <c r="J60" s="5"/>
      <c r="K60" s="5"/>
      <c r="L60" s="5"/>
      <c r="M60" s="5"/>
      <c r="N60" s="5"/>
      <c r="O60" s="5"/>
    </row>
    <row r="61" spans="1:15" x14ac:dyDescent="0.25">
      <c r="A61" s="18" t="s">
        <v>912</v>
      </c>
    </row>
    <row r="62" spans="1:15" x14ac:dyDescent="0.25">
      <c r="A62" t="s">
        <v>915</v>
      </c>
    </row>
    <row r="64" spans="1:15" x14ac:dyDescent="0.25">
      <c r="A64" s="15" t="s">
        <v>888</v>
      </c>
      <c r="B64" s="15" t="s">
        <v>889</v>
      </c>
      <c r="C64" s="15" t="s">
        <v>962</v>
      </c>
      <c r="D64" s="15" t="s">
        <v>916</v>
      </c>
      <c r="E64" s="15" t="s">
        <v>917</v>
      </c>
    </row>
    <row r="65" spans="1:5" x14ac:dyDescent="0.25">
      <c r="A65" t="s">
        <v>918</v>
      </c>
      <c r="B65" t="s">
        <v>265</v>
      </c>
      <c r="C65">
        <v>0.57999999999999996</v>
      </c>
      <c r="D65" s="15">
        <v>0</v>
      </c>
      <c r="E65" s="20">
        <f>C65*D65</f>
        <v>0</v>
      </c>
    </row>
    <row r="66" spans="1:5" x14ac:dyDescent="0.25">
      <c r="A66" t="s">
        <v>919</v>
      </c>
      <c r="B66" t="s">
        <v>265</v>
      </c>
      <c r="C66">
        <v>0.6</v>
      </c>
      <c r="D66" s="15">
        <v>0.69</v>
      </c>
      <c r="E66" s="20">
        <f t="shared" ref="E66:E69" si="3">C66*D66</f>
        <v>0.41399999999999998</v>
      </c>
    </row>
    <row r="67" spans="1:5" x14ac:dyDescent="0.25">
      <c r="A67" t="s">
        <v>920</v>
      </c>
      <c r="B67" t="s">
        <v>265</v>
      </c>
      <c r="C67">
        <v>0.41</v>
      </c>
      <c r="D67" s="15">
        <v>0</v>
      </c>
      <c r="E67" s="20">
        <f t="shared" si="3"/>
        <v>0</v>
      </c>
    </row>
    <row r="68" spans="1:5" x14ac:dyDescent="0.25">
      <c r="A68" t="s">
        <v>921</v>
      </c>
      <c r="B68" t="s">
        <v>265</v>
      </c>
      <c r="C68">
        <v>0.53</v>
      </c>
      <c r="D68" s="15">
        <v>0</v>
      </c>
      <c r="E68" s="20">
        <f t="shared" si="3"/>
        <v>0</v>
      </c>
    </row>
    <row r="69" spans="1:5" x14ac:dyDescent="0.25">
      <c r="A69" t="s">
        <v>922</v>
      </c>
      <c r="B69" t="s">
        <v>265</v>
      </c>
      <c r="C69">
        <v>0.72</v>
      </c>
      <c r="D69" s="15">
        <v>0.68</v>
      </c>
      <c r="E69" s="20">
        <f t="shared" si="3"/>
        <v>0.48960000000000004</v>
      </c>
    </row>
    <row r="91" spans="1:15" x14ac:dyDescent="0.25">
      <c r="A91" s="5" t="s">
        <v>924</v>
      </c>
      <c r="B91" s="5"/>
      <c r="C91" s="5"/>
      <c r="D91" s="5"/>
      <c r="E91" s="5"/>
      <c r="F91" s="5"/>
      <c r="G91" s="5"/>
      <c r="H91" s="5"/>
      <c r="I91" s="5"/>
      <c r="J91" s="5"/>
      <c r="K91" s="5"/>
      <c r="L91" s="5"/>
      <c r="M91" s="5"/>
      <c r="N91" s="5"/>
      <c r="O91" s="5"/>
    </row>
    <row r="92" spans="1:15" x14ac:dyDescent="0.25">
      <c r="A92" s="5" t="s">
        <v>923</v>
      </c>
      <c r="B92" s="5"/>
      <c r="C92" s="5"/>
      <c r="D92" s="5"/>
      <c r="E92" s="5"/>
      <c r="F92" s="5"/>
      <c r="G92" s="5"/>
      <c r="H92" s="5"/>
      <c r="I92" s="5"/>
      <c r="J92" s="5"/>
      <c r="K92" s="5"/>
      <c r="L92" s="5"/>
      <c r="M92" s="5"/>
      <c r="N92" s="5"/>
      <c r="O92" s="5"/>
    </row>
    <row r="93" spans="1:15" x14ac:dyDescent="0.25">
      <c r="A93" s="18" t="s">
        <v>925</v>
      </c>
    </row>
    <row r="94" spans="1:15" x14ac:dyDescent="0.25">
      <c r="A94" t="s">
        <v>926</v>
      </c>
    </row>
    <row r="95" spans="1:15" x14ac:dyDescent="0.25">
      <c r="D95" t="s">
        <v>1068</v>
      </c>
      <c r="E95">
        <v>41.52</v>
      </c>
      <c r="F95" t="s">
        <v>227</v>
      </c>
    </row>
    <row r="96" spans="1:15" x14ac:dyDescent="0.25">
      <c r="D96" t="s">
        <v>937</v>
      </c>
      <c r="E96">
        <v>164.98</v>
      </c>
      <c r="F96" t="s">
        <v>227</v>
      </c>
    </row>
    <row r="97" spans="1:6" x14ac:dyDescent="0.25">
      <c r="D97" t="s">
        <v>938</v>
      </c>
      <c r="E97">
        <v>23.5</v>
      </c>
      <c r="F97" t="s">
        <v>936</v>
      </c>
    </row>
    <row r="99" spans="1:6" x14ac:dyDescent="0.25">
      <c r="B99" t="s">
        <v>941</v>
      </c>
      <c r="C99" s="15" t="s">
        <v>934</v>
      </c>
      <c r="D99" s="15" t="s">
        <v>942</v>
      </c>
    </row>
    <row r="100" spans="1:6" x14ac:dyDescent="0.25">
      <c r="A100" t="s">
        <v>928</v>
      </c>
      <c r="B100">
        <f>2.66/E96</f>
        <v>1.6123166444417508E-2</v>
      </c>
      <c r="C100" t="s">
        <v>25</v>
      </c>
      <c r="D100">
        <f>B100*6.94/(6.94+30.97+19*6)</f>
        <v>7.3658597277504779E-4</v>
      </c>
    </row>
    <row r="102" spans="1:6" x14ac:dyDescent="0.25">
      <c r="A102" s="15" t="s">
        <v>933</v>
      </c>
      <c r="B102" s="15" t="s">
        <v>940</v>
      </c>
      <c r="C102" s="15" t="s">
        <v>934</v>
      </c>
      <c r="D102" s="15" t="s">
        <v>939</v>
      </c>
      <c r="E102" s="15" t="s">
        <v>942</v>
      </c>
    </row>
    <row r="103" spans="1:6" x14ac:dyDescent="0.25">
      <c r="A103" t="s">
        <v>929</v>
      </c>
      <c r="B103">
        <f>0.38</f>
        <v>0.38</v>
      </c>
      <c r="C103" t="s">
        <v>25</v>
      </c>
      <c r="D103">
        <f>B103*6.94*2/(6.94*2+12.01+16*3)</f>
        <v>7.1381783732575449E-2</v>
      </c>
      <c r="E103">
        <f>D103*$E$95/$E$96</f>
        <v>1.7964429995008687E-2</v>
      </c>
    </row>
    <row r="104" spans="1:6" x14ac:dyDescent="0.25">
      <c r="A104" t="s">
        <v>930</v>
      </c>
      <c r="B104">
        <f>0.56*0.95</f>
        <v>0.53200000000000003</v>
      </c>
      <c r="C104" t="s">
        <v>265</v>
      </c>
      <c r="D104">
        <f>B104*58.69/(58.69+32.07+16*4)</f>
        <v>0.20175161540449729</v>
      </c>
      <c r="E104">
        <f t="shared" ref="E104:E109" si="4">D104*$E$95/$E$96</f>
        <v>5.0774197306308215E-2</v>
      </c>
    </row>
    <row r="105" spans="1:6" x14ac:dyDescent="0.25">
      <c r="B105">
        <f>0.56*0.95</f>
        <v>0.53200000000000003</v>
      </c>
      <c r="C105" t="s">
        <v>935</v>
      </c>
      <c r="D105">
        <f>B104*32.07/(58.69+32.07+16*4)</f>
        <v>0.11024321530111142</v>
      </c>
      <c r="E105">
        <f t="shared" si="4"/>
        <v>2.774456479150289E-2</v>
      </c>
    </row>
    <row r="106" spans="1:6" x14ac:dyDescent="0.25">
      <c r="A106" t="s">
        <v>931</v>
      </c>
      <c r="B106">
        <f>0.55*0.95</f>
        <v>0.52249999999999996</v>
      </c>
      <c r="C106" t="s">
        <v>630</v>
      </c>
      <c r="D106">
        <f>B106*54.94/(54.94+32.07+16*4)</f>
        <v>0.19009436461161511</v>
      </c>
      <c r="E106">
        <f t="shared" si="4"/>
        <v>4.7840453501480543E-2</v>
      </c>
    </row>
    <row r="107" spans="1:6" x14ac:dyDescent="0.25">
      <c r="B107">
        <f>0.55*0.95</f>
        <v>0.52249999999999996</v>
      </c>
      <c r="C107" t="s">
        <v>935</v>
      </c>
      <c r="D107">
        <f>B107*32.07/(54.94+32.07+16*4)</f>
        <v>0.11096334679822528</v>
      </c>
      <c r="E107">
        <f t="shared" si="4"/>
        <v>2.7925798030441956E-2</v>
      </c>
    </row>
    <row r="108" spans="1:6" x14ac:dyDescent="0.25">
      <c r="A108" t="s">
        <v>932</v>
      </c>
      <c r="B108">
        <f>0.56*0.95</f>
        <v>0.53200000000000003</v>
      </c>
      <c r="C108" t="s">
        <v>246</v>
      </c>
      <c r="D108">
        <f>B108*58.93/(58.93+32.07+16*4)</f>
        <v>0.2022629677419355</v>
      </c>
      <c r="E108">
        <f t="shared" si="4"/>
        <v>5.0902887747879516E-2</v>
      </c>
    </row>
    <row r="109" spans="1:6" x14ac:dyDescent="0.25">
      <c r="B109">
        <f>0.56*0.95</f>
        <v>0.53200000000000003</v>
      </c>
      <c r="C109" t="s">
        <v>935</v>
      </c>
      <c r="D109">
        <f>B108*32.07/(58.93+32.07+16*4)</f>
        <v>0.11007251612903227</v>
      </c>
      <c r="E109">
        <f t="shared" si="4"/>
        <v>2.7701605465374108E-2</v>
      </c>
    </row>
    <row r="111" spans="1:6" x14ac:dyDescent="0.25">
      <c r="A111" s="15" t="s">
        <v>889</v>
      </c>
      <c r="B111" s="54" t="s">
        <v>892</v>
      </c>
      <c r="C111" s="54" t="s">
        <v>890</v>
      </c>
    </row>
    <row r="112" spans="1:6" x14ac:dyDescent="0.25">
      <c r="A112" s="15" t="s">
        <v>25</v>
      </c>
      <c r="B112" s="15">
        <f>E103+D100</f>
        <v>1.8701015967783736E-2</v>
      </c>
      <c r="C112" s="15">
        <f>B112*$E$96/$E$97</f>
        <v>0.13128908997297706</v>
      </c>
    </row>
    <row r="113" spans="1:14" x14ac:dyDescent="0.25">
      <c r="A113" s="15" t="s">
        <v>265</v>
      </c>
      <c r="B113" s="15">
        <f>E104</f>
        <v>5.0774197306308215E-2</v>
      </c>
      <c r="C113" s="15">
        <f t="shared" ref="C113:C116" si="5">B113*$E$96/$E$97</f>
        <v>0.3564564711316906</v>
      </c>
    </row>
    <row r="114" spans="1:14" x14ac:dyDescent="0.25">
      <c r="A114" s="15" t="s">
        <v>935</v>
      </c>
      <c r="B114" s="15">
        <f>E105+E107+E109</f>
        <v>8.3371968287318951E-2</v>
      </c>
      <c r="C114" s="15">
        <f t="shared" si="5"/>
        <v>0.58530669481029274</v>
      </c>
    </row>
    <row r="115" spans="1:14" x14ac:dyDescent="0.25">
      <c r="A115" s="15" t="s">
        <v>630</v>
      </c>
      <c r="B115" s="15">
        <f>E106</f>
        <v>4.7840453501480543E-2</v>
      </c>
      <c r="C115" s="15">
        <f t="shared" si="5"/>
        <v>0.33586034122018127</v>
      </c>
    </row>
    <row r="116" spans="1:14" x14ac:dyDescent="0.25">
      <c r="A116" s="15" t="s">
        <v>246</v>
      </c>
      <c r="B116" s="15">
        <f>E108</f>
        <v>5.0902887747879516E-2</v>
      </c>
      <c r="C116" s="15">
        <f t="shared" si="5"/>
        <v>0.35735993279341116</v>
      </c>
    </row>
    <row r="126" spans="1:14" x14ac:dyDescent="0.25">
      <c r="A126" s="5" t="s">
        <v>582</v>
      </c>
      <c r="B126" s="5"/>
      <c r="C126" s="5"/>
      <c r="D126" s="5"/>
      <c r="E126" s="5"/>
      <c r="F126" s="5"/>
      <c r="G126" s="5"/>
      <c r="H126" s="5"/>
      <c r="I126" s="5"/>
      <c r="J126" s="5"/>
      <c r="K126" s="5"/>
      <c r="L126" s="5"/>
      <c r="M126" s="5"/>
      <c r="N126" s="5"/>
    </row>
    <row r="127" spans="1:14" x14ac:dyDescent="0.25">
      <c r="A127" s="29" t="s">
        <v>581</v>
      </c>
      <c r="B127" s="5"/>
      <c r="C127" s="5"/>
      <c r="D127" s="5"/>
      <c r="E127" s="5"/>
      <c r="F127" s="5"/>
      <c r="G127" s="5"/>
      <c r="H127" s="5"/>
      <c r="I127" s="5"/>
      <c r="J127" s="5"/>
      <c r="K127" s="5"/>
      <c r="L127" s="5"/>
      <c r="M127" s="5"/>
      <c r="N127" s="5"/>
    </row>
    <row r="128" spans="1:14" x14ac:dyDescent="0.25">
      <c r="A128" s="18" t="s">
        <v>583</v>
      </c>
    </row>
    <row r="129" spans="1:3" x14ac:dyDescent="0.25">
      <c r="A129" t="s">
        <v>575</v>
      </c>
    </row>
    <row r="130" spans="1:3" x14ac:dyDescent="0.25">
      <c r="A130" s="93"/>
      <c r="B130" s="93"/>
      <c r="C130" s="93"/>
    </row>
    <row r="131" spans="1:3" x14ac:dyDescent="0.25">
      <c r="A131" s="93" t="s">
        <v>888</v>
      </c>
      <c r="B131" s="93" t="s">
        <v>889</v>
      </c>
      <c r="C131" s="93" t="s">
        <v>905</v>
      </c>
    </row>
    <row r="132" spans="1:3" x14ac:dyDescent="0.25">
      <c r="A132" t="s">
        <v>943</v>
      </c>
      <c r="B132" t="s">
        <v>236</v>
      </c>
      <c r="C132">
        <v>0.22</v>
      </c>
    </row>
    <row r="133" spans="1:3" x14ac:dyDescent="0.25">
      <c r="B133" t="s">
        <v>0</v>
      </c>
      <c r="C133">
        <v>0.22</v>
      </c>
    </row>
    <row r="134" spans="1:3" x14ac:dyDescent="0.25">
      <c r="B134" t="s">
        <v>246</v>
      </c>
      <c r="C134">
        <v>0.124</v>
      </c>
    </row>
    <row r="135" spans="1:3" x14ac:dyDescent="0.25">
      <c r="B135" t="s">
        <v>25</v>
      </c>
      <c r="C135">
        <v>0.113</v>
      </c>
    </row>
    <row r="136" spans="1:3" x14ac:dyDescent="0.25">
      <c r="B136" t="s">
        <v>630</v>
      </c>
      <c r="C136">
        <v>0.40600000000000003</v>
      </c>
    </row>
    <row r="137" spans="1:3" x14ac:dyDescent="0.25">
      <c r="A137" s="93"/>
      <c r="B137" s="93" t="s">
        <v>265</v>
      </c>
      <c r="C137" s="93">
        <v>0.41499999999999998</v>
      </c>
    </row>
    <row r="138" spans="1:3" x14ac:dyDescent="0.25">
      <c r="A138" t="s">
        <v>944</v>
      </c>
      <c r="B138" t="s">
        <v>236</v>
      </c>
      <c r="C138" s="95">
        <v>0.22</v>
      </c>
    </row>
    <row r="139" spans="1:3" x14ac:dyDescent="0.25">
      <c r="B139" t="s">
        <v>0</v>
      </c>
      <c r="C139" s="95">
        <v>0.22</v>
      </c>
    </row>
    <row r="140" spans="1:3" x14ac:dyDescent="0.25">
      <c r="B140" t="s">
        <v>246</v>
      </c>
    </row>
    <row r="141" spans="1:3" x14ac:dyDescent="0.25">
      <c r="B141" t="s">
        <v>25</v>
      </c>
      <c r="C141">
        <v>0.41099999999999998</v>
      </c>
    </row>
    <row r="142" spans="1:3" x14ac:dyDescent="0.25">
      <c r="B142" t="s">
        <v>630</v>
      </c>
    </row>
    <row r="143" spans="1:3" x14ac:dyDescent="0.25">
      <c r="A143" s="93"/>
      <c r="B143" s="93" t="s">
        <v>265</v>
      </c>
      <c r="C143" s="93"/>
    </row>
    <row r="148" spans="1:16" x14ac:dyDescent="0.25">
      <c r="A148" s="79" t="s">
        <v>946</v>
      </c>
      <c r="B148" s="96"/>
      <c r="C148" s="96"/>
      <c r="D148" s="96"/>
      <c r="E148" s="96"/>
      <c r="F148" s="96"/>
      <c r="G148" s="96"/>
    </row>
    <row r="149" spans="1:16" x14ac:dyDescent="0.25">
      <c r="A149" s="96" t="s">
        <v>945</v>
      </c>
      <c r="B149" s="96"/>
      <c r="C149" s="96"/>
      <c r="D149" s="96"/>
      <c r="E149" s="96"/>
      <c r="F149" s="96"/>
      <c r="G149" s="96"/>
    </row>
    <row r="151" spans="1:16" x14ac:dyDescent="0.25">
      <c r="A151" t="s">
        <v>947</v>
      </c>
    </row>
    <row r="153" spans="1:16" x14ac:dyDescent="0.25">
      <c r="A153" s="5" t="s">
        <v>209</v>
      </c>
      <c r="B153" s="5"/>
      <c r="C153" s="5"/>
      <c r="D153" s="5"/>
      <c r="E153" s="5"/>
      <c r="F153" s="5"/>
      <c r="G153" s="5"/>
      <c r="H153" s="5"/>
      <c r="I153" s="5"/>
      <c r="J153" s="5"/>
      <c r="K153" s="5"/>
      <c r="L153" s="5"/>
      <c r="M153" s="5"/>
      <c r="N153" s="5"/>
    </row>
    <row r="154" spans="1:16" x14ac:dyDescent="0.25">
      <c r="A154" s="29" t="s">
        <v>210</v>
      </c>
      <c r="B154" s="5"/>
      <c r="C154" s="5"/>
      <c r="D154" s="5"/>
      <c r="E154" s="5"/>
      <c r="F154" s="5"/>
      <c r="G154" s="5"/>
      <c r="H154" s="5"/>
      <c r="I154" s="5"/>
      <c r="J154" s="5"/>
      <c r="K154" s="5"/>
      <c r="L154" s="5"/>
      <c r="M154" s="5"/>
      <c r="N154" s="5"/>
    </row>
    <row r="155" spans="1:16" x14ac:dyDescent="0.25">
      <c r="A155" s="18" t="s">
        <v>211</v>
      </c>
    </row>
    <row r="156" spans="1:16" x14ac:dyDescent="0.25">
      <c r="A156" t="s">
        <v>957</v>
      </c>
    </row>
    <row r="157" spans="1:16" ht="15.75" thickBot="1" x14ac:dyDescent="0.3"/>
    <row r="158" spans="1:16" ht="15.75" thickBot="1" x14ac:dyDescent="0.3">
      <c r="A158" s="220" t="s">
        <v>948</v>
      </c>
      <c r="B158" s="221"/>
      <c r="C158" s="221"/>
      <c r="D158" s="221"/>
      <c r="E158" s="221"/>
      <c r="F158" s="221"/>
      <c r="G158" s="221"/>
      <c r="H158" s="221"/>
      <c r="I158" s="221"/>
      <c r="J158" s="221"/>
      <c r="K158" s="221"/>
      <c r="L158" s="221"/>
      <c r="M158" s="221"/>
      <c r="N158" s="221"/>
      <c r="O158" s="221"/>
      <c r="P158" s="222"/>
    </row>
    <row r="159" spans="1:16" ht="16.5" customHeight="1" thickBot="1" x14ac:dyDescent="0.3">
      <c r="A159" s="97"/>
      <c r="B159" s="223" t="s">
        <v>949</v>
      </c>
      <c r="C159" s="224"/>
      <c r="D159" s="225"/>
      <c r="E159" s="223" t="s">
        <v>950</v>
      </c>
      <c r="F159" s="224"/>
      <c r="G159" s="225"/>
      <c r="H159" s="223" t="s">
        <v>951</v>
      </c>
      <c r="I159" s="224"/>
      <c r="J159" s="225"/>
      <c r="K159" s="223" t="s">
        <v>952</v>
      </c>
      <c r="L159" s="224"/>
      <c r="M159" s="225"/>
      <c r="N159" s="223" t="s">
        <v>953</v>
      </c>
      <c r="O159" s="224"/>
      <c r="P159" s="225"/>
    </row>
    <row r="160" spans="1:16" ht="15.75" thickBot="1" x14ac:dyDescent="0.3">
      <c r="A160" s="97"/>
      <c r="B160" s="98" t="s">
        <v>450</v>
      </c>
      <c r="C160" s="98" t="s">
        <v>747</v>
      </c>
      <c r="D160" s="98" t="s">
        <v>449</v>
      </c>
      <c r="E160" s="98" t="s">
        <v>450</v>
      </c>
      <c r="F160" s="98" t="s">
        <v>747</v>
      </c>
      <c r="G160" s="98" t="s">
        <v>449</v>
      </c>
      <c r="H160" s="98" t="s">
        <v>450</v>
      </c>
      <c r="I160" s="98" t="s">
        <v>747</v>
      </c>
      <c r="J160" s="98" t="s">
        <v>449</v>
      </c>
      <c r="K160" s="98" t="s">
        <v>450</v>
      </c>
      <c r="L160" s="98" t="s">
        <v>747</v>
      </c>
      <c r="M160" s="98" t="s">
        <v>449</v>
      </c>
      <c r="N160" s="98" t="s">
        <v>450</v>
      </c>
      <c r="O160" s="98" t="s">
        <v>747</v>
      </c>
      <c r="P160" s="98" t="s">
        <v>449</v>
      </c>
    </row>
    <row r="161" spans="1:16" ht="15.75" thickBot="1" x14ac:dyDescent="0.3">
      <c r="A161" s="226" t="s">
        <v>905</v>
      </c>
      <c r="B161" s="227"/>
      <c r="C161" s="227"/>
      <c r="D161" s="227"/>
      <c r="E161" s="227"/>
      <c r="F161" s="227"/>
      <c r="G161" s="227"/>
      <c r="H161" s="227"/>
      <c r="I161" s="227"/>
      <c r="J161" s="227"/>
      <c r="K161" s="227"/>
      <c r="L161" s="227"/>
      <c r="M161" s="227"/>
      <c r="N161" s="227"/>
      <c r="O161" s="227"/>
      <c r="P161" s="228"/>
    </row>
    <row r="162" spans="1:16" ht="15.75" thickBot="1" x14ac:dyDescent="0.3">
      <c r="A162" s="97" t="s">
        <v>102</v>
      </c>
      <c r="B162" s="98">
        <v>0.26</v>
      </c>
      <c r="C162" s="98">
        <v>0.21</v>
      </c>
      <c r="D162" s="98">
        <v>0.21</v>
      </c>
      <c r="E162" s="98">
        <v>0.17</v>
      </c>
      <c r="F162" s="98">
        <v>0.13</v>
      </c>
      <c r="G162" s="98">
        <v>0.13</v>
      </c>
      <c r="H162" s="98">
        <v>0.54</v>
      </c>
      <c r="I162" s="98">
        <v>0.43</v>
      </c>
      <c r="J162" s="98">
        <v>0.42</v>
      </c>
      <c r="K162" s="98">
        <v>0.16</v>
      </c>
      <c r="L162" s="98">
        <v>0.12</v>
      </c>
      <c r="M162" s="98">
        <v>0.12</v>
      </c>
      <c r="N162" s="98">
        <v>0.16</v>
      </c>
      <c r="O162" s="98">
        <v>0.12</v>
      </c>
      <c r="P162" s="98">
        <v>0.12</v>
      </c>
    </row>
    <row r="163" spans="1:16" ht="15.75" thickBot="1" x14ac:dyDescent="0.3">
      <c r="A163" s="97" t="s">
        <v>95</v>
      </c>
      <c r="B163" s="98">
        <v>0.3</v>
      </c>
      <c r="C163" s="98">
        <v>0.25</v>
      </c>
      <c r="D163" s="98">
        <v>0.25</v>
      </c>
      <c r="E163" s="98"/>
      <c r="F163" s="98"/>
      <c r="G163" s="98"/>
      <c r="H163" s="98"/>
      <c r="I163" s="98"/>
      <c r="J163" s="98"/>
      <c r="K163" s="98">
        <v>0.38</v>
      </c>
      <c r="L163" s="98">
        <v>0.3</v>
      </c>
      <c r="M163" s="98">
        <v>0.3</v>
      </c>
      <c r="N163" s="98">
        <v>0.23</v>
      </c>
      <c r="O163" s="98">
        <v>0.18</v>
      </c>
      <c r="P163" s="98">
        <v>0.18</v>
      </c>
    </row>
    <row r="164" spans="1:16" ht="15.75" thickBot="1" x14ac:dyDescent="0.3">
      <c r="A164" s="97" t="s">
        <v>352</v>
      </c>
      <c r="B164" s="98">
        <v>1.61</v>
      </c>
      <c r="C164" s="98">
        <v>1.32</v>
      </c>
      <c r="D164" s="98">
        <v>1.32</v>
      </c>
      <c r="E164" s="98"/>
      <c r="F164" s="98"/>
      <c r="G164" s="98"/>
      <c r="H164" s="98"/>
      <c r="I164" s="98"/>
      <c r="J164" s="98"/>
      <c r="K164" s="98">
        <v>0.38</v>
      </c>
      <c r="L164" s="98">
        <v>0.28999999999999998</v>
      </c>
      <c r="M164" s="98">
        <v>0.28999999999999998</v>
      </c>
      <c r="N164" s="98">
        <v>0.69</v>
      </c>
      <c r="O164" s="98">
        <v>0.53</v>
      </c>
      <c r="P164" s="98">
        <v>0.53</v>
      </c>
    </row>
    <row r="165" spans="1:16" ht="15.75" thickBot="1" x14ac:dyDescent="0.3">
      <c r="A165" s="97" t="s">
        <v>350</v>
      </c>
      <c r="B165" s="98"/>
      <c r="C165" s="98"/>
      <c r="D165" s="98"/>
      <c r="E165" s="98"/>
      <c r="F165" s="98"/>
      <c r="G165" s="98"/>
      <c r="H165" s="98"/>
      <c r="I165" s="98"/>
      <c r="J165" s="98"/>
      <c r="K165" s="98">
        <v>0.36</v>
      </c>
      <c r="L165" s="98">
        <v>0.28000000000000003</v>
      </c>
      <c r="M165" s="98">
        <v>0.28000000000000003</v>
      </c>
      <c r="N165" s="98">
        <v>0.21</v>
      </c>
      <c r="O165" s="98">
        <v>0.16</v>
      </c>
      <c r="P165" s="98">
        <v>0.16</v>
      </c>
    </row>
    <row r="166" spans="1:16" ht="15.75" thickBot="1" x14ac:dyDescent="0.3">
      <c r="A166" s="97" t="s">
        <v>456</v>
      </c>
      <c r="B166" s="98"/>
      <c r="C166" s="98"/>
      <c r="D166" s="98"/>
      <c r="E166" s="98"/>
      <c r="F166" s="98"/>
      <c r="G166" s="98"/>
      <c r="H166" s="98">
        <v>1.84</v>
      </c>
      <c r="I166" s="98">
        <v>1.49</v>
      </c>
      <c r="J166" s="98">
        <v>1.48</v>
      </c>
      <c r="K166" s="98"/>
      <c r="L166" s="98"/>
      <c r="M166" s="98"/>
      <c r="N166" s="98"/>
      <c r="O166" s="98"/>
      <c r="P166" s="98"/>
    </row>
    <row r="167" spans="1:16" ht="15.75" thickBot="1" x14ac:dyDescent="0.3">
      <c r="A167" s="97" t="s">
        <v>954</v>
      </c>
      <c r="B167" s="98">
        <v>0.11</v>
      </c>
      <c r="C167" s="98">
        <v>0.06</v>
      </c>
      <c r="D167" s="98">
        <v>0.06</v>
      </c>
      <c r="E167" s="98">
        <v>0.76</v>
      </c>
      <c r="F167" s="98">
        <v>0.59</v>
      </c>
      <c r="G167" s="98">
        <v>0.57999999999999996</v>
      </c>
      <c r="H167" s="98">
        <v>0.24</v>
      </c>
      <c r="I167" s="98">
        <v>0.16</v>
      </c>
      <c r="J167" s="98">
        <v>0.13</v>
      </c>
      <c r="K167" s="98">
        <v>0.11</v>
      </c>
      <c r="L167" s="98">
        <v>0.06</v>
      </c>
      <c r="M167" s="98">
        <v>0.06</v>
      </c>
      <c r="N167" s="98">
        <v>0.11</v>
      </c>
      <c r="O167" s="98">
        <v>0.06</v>
      </c>
      <c r="P167" s="98">
        <v>0.06</v>
      </c>
    </row>
    <row r="168" spans="1:16" ht="15.75" thickBot="1" x14ac:dyDescent="0.3">
      <c r="A168" s="226" t="s">
        <v>955</v>
      </c>
      <c r="B168" s="227"/>
      <c r="C168" s="227"/>
      <c r="D168" s="227"/>
      <c r="E168" s="227"/>
      <c r="F168" s="227"/>
      <c r="G168" s="227"/>
      <c r="H168" s="227"/>
      <c r="I168" s="227"/>
      <c r="J168" s="227"/>
      <c r="K168" s="227"/>
      <c r="L168" s="227"/>
      <c r="M168" s="227"/>
      <c r="N168" s="227"/>
      <c r="O168" s="227"/>
      <c r="P168" s="228"/>
    </row>
    <row r="169" spans="1:16" ht="15.75" thickBot="1" x14ac:dyDescent="0.3">
      <c r="A169" s="97" t="s">
        <v>936</v>
      </c>
      <c r="B169" s="98">
        <v>1.1000000000000001</v>
      </c>
      <c r="C169" s="98">
        <v>14.3</v>
      </c>
      <c r="D169" s="98">
        <v>80.5</v>
      </c>
      <c r="E169" s="98">
        <v>1.1000000000000001</v>
      </c>
      <c r="F169" s="98">
        <v>14.3</v>
      </c>
      <c r="G169" s="98">
        <v>80.5</v>
      </c>
      <c r="H169" s="98">
        <v>1.1000000000000001</v>
      </c>
      <c r="I169" s="98">
        <v>14.3</v>
      </c>
      <c r="J169" s="98">
        <v>80.5</v>
      </c>
      <c r="K169" s="98">
        <v>1.1000000000000001</v>
      </c>
      <c r="L169" s="98">
        <v>14.3</v>
      </c>
      <c r="M169" s="98">
        <v>80.5</v>
      </c>
      <c r="N169" s="98">
        <v>1.1000000000000001</v>
      </c>
      <c r="O169" s="98">
        <v>14.3</v>
      </c>
      <c r="P169" s="98">
        <v>80.5</v>
      </c>
    </row>
    <row r="170" spans="1:16" ht="15.75" thickBot="1" x14ac:dyDescent="0.3">
      <c r="A170" s="226" t="s">
        <v>956</v>
      </c>
      <c r="B170" s="227"/>
      <c r="C170" s="227"/>
      <c r="D170" s="227"/>
      <c r="E170" s="227"/>
      <c r="F170" s="227"/>
      <c r="G170" s="227"/>
      <c r="H170" s="227"/>
      <c r="I170" s="227"/>
      <c r="J170" s="227"/>
      <c r="K170" s="227"/>
      <c r="L170" s="227"/>
      <c r="M170" s="227"/>
      <c r="N170" s="227"/>
      <c r="O170" s="227"/>
      <c r="P170" s="228"/>
    </row>
    <row r="171" spans="1:16" ht="15.75" thickBot="1" x14ac:dyDescent="0.3">
      <c r="A171" s="97" t="s">
        <v>102</v>
      </c>
      <c r="B171" s="98">
        <v>0.28000000000000003</v>
      </c>
      <c r="C171" s="98">
        <v>3</v>
      </c>
      <c r="D171" s="98">
        <v>17</v>
      </c>
      <c r="E171" s="98">
        <v>0.18</v>
      </c>
      <c r="F171" s="98">
        <v>1.9</v>
      </c>
      <c r="G171" s="98">
        <v>10</v>
      </c>
      <c r="H171" s="98">
        <v>0.57999999999999996</v>
      </c>
      <c r="I171" s="98">
        <v>6.2</v>
      </c>
      <c r="J171" s="98">
        <v>34</v>
      </c>
      <c r="K171" s="98">
        <v>0.17</v>
      </c>
      <c r="L171" s="98">
        <v>1.7</v>
      </c>
      <c r="M171" s="98">
        <v>10</v>
      </c>
      <c r="N171" s="98">
        <v>0.17</v>
      </c>
      <c r="O171" s="98">
        <v>1.7</v>
      </c>
      <c r="P171" s="98">
        <v>10</v>
      </c>
    </row>
    <row r="172" spans="1:16" ht="15.75" thickBot="1" x14ac:dyDescent="0.3">
      <c r="A172" s="97" t="s">
        <v>95</v>
      </c>
      <c r="B172" s="98">
        <v>0.33</v>
      </c>
      <c r="C172" s="98">
        <v>3.6</v>
      </c>
      <c r="D172" s="98">
        <v>20</v>
      </c>
      <c r="E172" s="98"/>
      <c r="F172" s="98"/>
      <c r="G172" s="98"/>
      <c r="H172" s="98"/>
      <c r="I172" s="98"/>
      <c r="J172" s="98"/>
      <c r="K172" s="98">
        <v>0.41</v>
      </c>
      <c r="L172" s="98">
        <v>4.2</v>
      </c>
      <c r="M172" s="98">
        <v>24</v>
      </c>
      <c r="N172" s="98">
        <v>0.25</v>
      </c>
      <c r="O172" s="98">
        <v>2.5</v>
      </c>
      <c r="P172" s="98">
        <v>14</v>
      </c>
    </row>
    <row r="173" spans="1:16" ht="15.75" thickBot="1" x14ac:dyDescent="0.3">
      <c r="A173" s="97" t="s">
        <v>352</v>
      </c>
      <c r="B173" s="98">
        <v>1.7</v>
      </c>
      <c r="C173" s="98">
        <v>19</v>
      </c>
      <c r="D173" s="98">
        <v>106</v>
      </c>
      <c r="E173" s="98"/>
      <c r="F173" s="98"/>
      <c r="G173" s="98"/>
      <c r="H173" s="98"/>
      <c r="I173" s="98"/>
      <c r="J173" s="98"/>
      <c r="K173" s="98">
        <v>0.41</v>
      </c>
      <c r="L173" s="98">
        <v>4.2</v>
      </c>
      <c r="M173" s="98">
        <v>24</v>
      </c>
      <c r="N173" s="98">
        <v>0.74</v>
      </c>
      <c r="O173" s="98">
        <v>7.6</v>
      </c>
      <c r="P173" s="98">
        <v>43</v>
      </c>
    </row>
    <row r="174" spans="1:16" ht="15.75" thickBot="1" x14ac:dyDescent="0.3">
      <c r="A174" s="97" t="s">
        <v>350</v>
      </c>
      <c r="B174" s="98"/>
      <c r="C174" s="98"/>
      <c r="D174" s="98"/>
      <c r="E174" s="98"/>
      <c r="F174" s="98"/>
      <c r="G174" s="98"/>
      <c r="H174" s="98"/>
      <c r="I174" s="98"/>
      <c r="J174" s="98"/>
      <c r="K174" s="98">
        <v>0.39</v>
      </c>
      <c r="L174" s="98">
        <v>3.9</v>
      </c>
      <c r="M174" s="98">
        <v>22</v>
      </c>
      <c r="N174" s="98">
        <v>0.23</v>
      </c>
      <c r="O174" s="98">
        <v>2.4</v>
      </c>
      <c r="P174" s="98">
        <v>13</v>
      </c>
    </row>
    <row r="175" spans="1:16" ht="15.75" thickBot="1" x14ac:dyDescent="0.3">
      <c r="A175" s="97" t="s">
        <v>456</v>
      </c>
      <c r="B175" s="98"/>
      <c r="C175" s="98"/>
      <c r="D175" s="98"/>
      <c r="E175" s="98"/>
      <c r="F175" s="98"/>
      <c r="G175" s="98"/>
      <c r="H175" s="98">
        <v>2</v>
      </c>
      <c r="I175" s="98">
        <v>21</v>
      </c>
      <c r="J175" s="98">
        <v>119</v>
      </c>
      <c r="K175" s="98"/>
      <c r="L175" s="98"/>
      <c r="M175" s="98"/>
      <c r="N175" s="98"/>
      <c r="O175" s="98"/>
      <c r="P175" s="98"/>
    </row>
    <row r="176" spans="1:16" ht="15.75" thickBot="1" x14ac:dyDescent="0.3">
      <c r="A176" s="97" t="s">
        <v>954</v>
      </c>
      <c r="B176" s="98">
        <v>0.1</v>
      </c>
      <c r="C176" s="98">
        <v>0.9</v>
      </c>
      <c r="D176" s="98">
        <v>5.0999999999999996</v>
      </c>
      <c r="E176" s="98">
        <v>0.8</v>
      </c>
      <c r="F176" s="98">
        <v>8.5</v>
      </c>
      <c r="G176" s="98">
        <v>46</v>
      </c>
      <c r="H176" s="98">
        <v>0.3</v>
      </c>
      <c r="I176" s="98">
        <v>2.4</v>
      </c>
      <c r="J176" s="98">
        <v>10.6</v>
      </c>
      <c r="K176" s="98">
        <v>0.1</v>
      </c>
      <c r="L176" s="98">
        <v>0.9</v>
      </c>
      <c r="M176" s="98">
        <v>5.0999999999999996</v>
      </c>
      <c r="N176" s="98">
        <v>0.1</v>
      </c>
      <c r="O176" s="98">
        <v>0.9</v>
      </c>
      <c r="P176" s="98">
        <v>5.0999999999999996</v>
      </c>
    </row>
    <row r="179" spans="1:11" x14ac:dyDescent="0.25">
      <c r="A179" s="100" t="s">
        <v>888</v>
      </c>
      <c r="B179" s="93" t="s">
        <v>889</v>
      </c>
      <c r="C179" s="67" t="s">
        <v>890</v>
      </c>
      <c r="D179" s="93" t="s">
        <v>892</v>
      </c>
    </row>
    <row r="180" spans="1:11" x14ac:dyDescent="0.25">
      <c r="A180" s="99" t="s">
        <v>958</v>
      </c>
      <c r="B180" t="s">
        <v>102</v>
      </c>
      <c r="C180" s="16">
        <f>AVERAGE(B162:D162)</f>
        <v>0.22666666666666666</v>
      </c>
      <c r="D180" s="13">
        <f>C180*C$69</f>
        <v>0.16319999999999998</v>
      </c>
    </row>
    <row r="181" spans="1:11" x14ac:dyDescent="0.25">
      <c r="B181" t="s">
        <v>95</v>
      </c>
      <c r="C181" s="16">
        <f t="shared" ref="C181:C185" si="6">AVERAGE(B163:D163)</f>
        <v>0.26666666666666666</v>
      </c>
      <c r="D181" s="13">
        <f t="shared" ref="D181:D185" si="7">C181*C$69</f>
        <v>0.192</v>
      </c>
      <c r="G181" s="15"/>
      <c r="H181" s="15"/>
      <c r="I181" s="15"/>
      <c r="J181" s="15"/>
      <c r="K181" s="15"/>
    </row>
    <row r="182" spans="1:11" x14ac:dyDescent="0.25">
      <c r="B182" t="s">
        <v>352</v>
      </c>
      <c r="C182" s="16">
        <f t="shared" si="6"/>
        <v>1.4166666666666667</v>
      </c>
      <c r="D182" s="13">
        <f t="shared" si="7"/>
        <v>1.02</v>
      </c>
      <c r="K182" s="20"/>
    </row>
    <row r="183" spans="1:11" x14ac:dyDescent="0.25">
      <c r="B183" t="s">
        <v>350</v>
      </c>
      <c r="C183" s="16">
        <v>0</v>
      </c>
      <c r="D183" s="13"/>
      <c r="K183" s="20"/>
    </row>
    <row r="184" spans="1:11" x14ac:dyDescent="0.25">
      <c r="B184" t="s">
        <v>456</v>
      </c>
      <c r="C184" s="16">
        <v>0</v>
      </c>
      <c r="D184" s="13"/>
      <c r="K184" s="20"/>
    </row>
    <row r="185" spans="1:11" x14ac:dyDescent="0.25">
      <c r="A185" s="93"/>
      <c r="B185" s="93" t="s">
        <v>954</v>
      </c>
      <c r="C185" s="125">
        <f t="shared" si="6"/>
        <v>7.6666666666666661E-2</v>
      </c>
      <c r="D185" s="102">
        <f t="shared" si="7"/>
        <v>5.5199999999999992E-2</v>
      </c>
      <c r="K185" s="20"/>
    </row>
    <row r="186" spans="1:11" x14ac:dyDescent="0.25">
      <c r="A186" t="s">
        <v>959</v>
      </c>
      <c r="B186" t="s">
        <v>102</v>
      </c>
      <c r="C186" s="16">
        <f>AVERAGE(E162:G162)</f>
        <v>0.14333333333333334</v>
      </c>
      <c r="D186" s="13">
        <f>C186*C68</f>
        <v>7.5966666666666668E-2</v>
      </c>
      <c r="K186" s="20"/>
    </row>
    <row r="187" spans="1:11" x14ac:dyDescent="0.25">
      <c r="B187" t="s">
        <v>95</v>
      </c>
      <c r="C187" s="16"/>
    </row>
    <row r="188" spans="1:11" x14ac:dyDescent="0.25">
      <c r="B188" t="s">
        <v>352</v>
      </c>
      <c r="C188" s="16"/>
    </row>
    <row r="189" spans="1:11" x14ac:dyDescent="0.25">
      <c r="B189" t="s">
        <v>350</v>
      </c>
      <c r="C189" s="16"/>
    </row>
    <row r="190" spans="1:11" x14ac:dyDescent="0.25">
      <c r="B190" t="s">
        <v>456</v>
      </c>
      <c r="C190" s="16"/>
    </row>
    <row r="191" spans="1:11" x14ac:dyDescent="0.25">
      <c r="A191" s="93"/>
      <c r="B191" s="93" t="s">
        <v>954</v>
      </c>
      <c r="C191" s="125">
        <f t="shared" ref="C191" si="8">AVERAGE(E167:G167)</f>
        <v>0.64333333333333342</v>
      </c>
      <c r="D191" s="102">
        <f>C191*C68</f>
        <v>0.34096666666666675</v>
      </c>
    </row>
    <row r="192" spans="1:11" x14ac:dyDescent="0.25">
      <c r="A192" t="s">
        <v>951</v>
      </c>
      <c r="B192" t="s">
        <v>102</v>
      </c>
      <c r="C192" s="16">
        <f>AVERAGE(H162:J162)</f>
        <v>0.46333333333333332</v>
      </c>
      <c r="D192" s="13">
        <f>C192*C$68</f>
        <v>0.24556666666666668</v>
      </c>
    </row>
    <row r="193" spans="1:4" x14ac:dyDescent="0.25">
      <c r="B193" t="s">
        <v>95</v>
      </c>
      <c r="C193" s="16"/>
      <c r="D193" s="13">
        <f t="shared" ref="D193:D197" si="9">C193*C$68</f>
        <v>0</v>
      </c>
    </row>
    <row r="194" spans="1:4" x14ac:dyDescent="0.25">
      <c r="B194" t="s">
        <v>352</v>
      </c>
      <c r="C194" s="16"/>
      <c r="D194" s="13">
        <f t="shared" si="9"/>
        <v>0</v>
      </c>
    </row>
    <row r="195" spans="1:4" x14ac:dyDescent="0.25">
      <c r="B195" t="s">
        <v>350</v>
      </c>
      <c r="C195" s="16"/>
      <c r="D195" s="13">
        <f t="shared" si="9"/>
        <v>0</v>
      </c>
    </row>
    <row r="196" spans="1:4" x14ac:dyDescent="0.25">
      <c r="B196" t="s">
        <v>456</v>
      </c>
      <c r="C196" s="16">
        <f t="shared" ref="C196:C197" si="10">AVERAGE(H166:J166)</f>
        <v>1.6033333333333335</v>
      </c>
      <c r="D196" s="13">
        <f t="shared" si="9"/>
        <v>0.84976666666666678</v>
      </c>
    </row>
    <row r="197" spans="1:4" x14ac:dyDescent="0.25">
      <c r="A197" s="93"/>
      <c r="B197" s="93" t="s">
        <v>954</v>
      </c>
      <c r="C197" s="125">
        <f t="shared" si="10"/>
        <v>0.17666666666666667</v>
      </c>
      <c r="D197" s="102">
        <f t="shared" si="9"/>
        <v>9.3633333333333332E-2</v>
      </c>
    </row>
    <row r="198" spans="1:4" x14ac:dyDescent="0.25">
      <c r="A198" t="s">
        <v>927</v>
      </c>
      <c r="B198" t="s">
        <v>102</v>
      </c>
      <c r="C198" s="16">
        <f>AVERAGE(K162:M162)</f>
        <v>0.13333333333333333</v>
      </c>
      <c r="D198" s="13">
        <f>C198*C$66</f>
        <v>0.08</v>
      </c>
    </row>
    <row r="199" spans="1:4" x14ac:dyDescent="0.25">
      <c r="B199" t="s">
        <v>95</v>
      </c>
      <c r="C199" s="16">
        <f t="shared" ref="C199:C203" si="11">AVERAGE(K163:M163)</f>
        <v>0.32666666666666666</v>
      </c>
      <c r="D199" s="13">
        <f t="shared" ref="D199:D209" si="12">C199*C$66</f>
        <v>0.19599999999999998</v>
      </c>
    </row>
    <row r="200" spans="1:4" x14ac:dyDescent="0.25">
      <c r="B200" t="s">
        <v>352</v>
      </c>
      <c r="C200" s="16">
        <f t="shared" si="11"/>
        <v>0.32</v>
      </c>
      <c r="D200" s="13">
        <f t="shared" si="12"/>
        <v>0.192</v>
      </c>
    </row>
    <row r="201" spans="1:4" x14ac:dyDescent="0.25">
      <c r="B201" t="s">
        <v>350</v>
      </c>
      <c r="C201" s="16">
        <f t="shared" si="11"/>
        <v>0.3066666666666667</v>
      </c>
      <c r="D201" s="13">
        <f t="shared" si="12"/>
        <v>0.18400000000000002</v>
      </c>
    </row>
    <row r="202" spans="1:4" x14ac:dyDescent="0.25">
      <c r="B202" t="s">
        <v>456</v>
      </c>
      <c r="C202" s="16"/>
      <c r="D202" s="13"/>
    </row>
    <row r="203" spans="1:4" x14ac:dyDescent="0.25">
      <c r="A203" s="93"/>
      <c r="B203" s="93" t="s">
        <v>954</v>
      </c>
      <c r="C203" s="125">
        <f t="shared" si="11"/>
        <v>7.6666666666666661E-2</v>
      </c>
      <c r="D203" s="102">
        <f t="shared" si="12"/>
        <v>4.5999999999999992E-2</v>
      </c>
    </row>
    <row r="204" spans="1:4" x14ac:dyDescent="0.25">
      <c r="A204" t="s">
        <v>961</v>
      </c>
      <c r="B204" t="s">
        <v>102</v>
      </c>
      <c r="C204" s="126">
        <f>AVERAGE(N162:P162)</f>
        <v>0.13333333333333333</v>
      </c>
      <c r="D204" s="13">
        <f t="shared" si="12"/>
        <v>0.08</v>
      </c>
    </row>
    <row r="205" spans="1:4" x14ac:dyDescent="0.25">
      <c r="B205" t="s">
        <v>95</v>
      </c>
      <c r="C205" s="126">
        <f t="shared" ref="C205:C209" si="13">AVERAGE(N163:P163)</f>
        <v>0.19666666666666668</v>
      </c>
      <c r="D205" s="13">
        <f t="shared" si="12"/>
        <v>0.11800000000000001</v>
      </c>
    </row>
    <row r="206" spans="1:4" x14ac:dyDescent="0.25">
      <c r="B206" t="s">
        <v>352</v>
      </c>
      <c r="C206" s="126">
        <f t="shared" si="13"/>
        <v>0.58333333333333337</v>
      </c>
      <c r="D206" s="13">
        <f t="shared" si="12"/>
        <v>0.35000000000000003</v>
      </c>
    </row>
    <row r="207" spans="1:4" x14ac:dyDescent="0.25">
      <c r="B207" t="s">
        <v>350</v>
      </c>
      <c r="C207" s="126">
        <f t="shared" si="13"/>
        <v>0.17666666666666667</v>
      </c>
      <c r="D207" s="13">
        <f t="shared" si="12"/>
        <v>0.106</v>
      </c>
    </row>
    <row r="208" spans="1:4" x14ac:dyDescent="0.25">
      <c r="B208" t="s">
        <v>456</v>
      </c>
      <c r="C208" s="126"/>
      <c r="D208" s="13"/>
    </row>
    <row r="209" spans="1:12" x14ac:dyDescent="0.25">
      <c r="A209" s="93"/>
      <c r="B209" s="93" t="s">
        <v>954</v>
      </c>
      <c r="C209" s="127">
        <f t="shared" si="13"/>
        <v>7.6666666666666661E-2</v>
      </c>
      <c r="D209" s="102">
        <f t="shared" si="12"/>
        <v>4.5999999999999992E-2</v>
      </c>
    </row>
    <row r="213" spans="1:12" x14ac:dyDescent="0.25">
      <c r="A213" s="5" t="s">
        <v>964</v>
      </c>
      <c r="B213" s="5"/>
      <c r="C213" s="5"/>
      <c r="D213" s="5"/>
      <c r="E213" s="5"/>
      <c r="F213" s="5"/>
      <c r="G213" s="5"/>
      <c r="H213" s="5"/>
      <c r="I213" s="5"/>
      <c r="J213" s="5"/>
      <c r="K213" s="5"/>
      <c r="L213" s="5"/>
    </row>
    <row r="214" spans="1:12" x14ac:dyDescent="0.25">
      <c r="A214" s="5" t="s">
        <v>963</v>
      </c>
      <c r="B214" s="5"/>
      <c r="C214" s="5"/>
      <c r="D214" s="5"/>
      <c r="E214" s="5"/>
      <c r="F214" s="5"/>
      <c r="G214" s="5"/>
      <c r="H214" s="5"/>
      <c r="I214" s="5"/>
      <c r="J214" s="5"/>
      <c r="K214" s="5"/>
      <c r="L214" s="5"/>
    </row>
    <row r="215" spans="1:12" x14ac:dyDescent="0.25">
      <c r="A215" s="18" t="s">
        <v>965</v>
      </c>
    </row>
    <row r="216" spans="1:12" x14ac:dyDescent="0.25">
      <c r="A216" t="s">
        <v>966</v>
      </c>
    </row>
    <row r="219" spans="1:12" x14ac:dyDescent="0.25">
      <c r="A219" s="100" t="s">
        <v>888</v>
      </c>
      <c r="B219" s="93" t="s">
        <v>889</v>
      </c>
      <c r="C219" s="67" t="s">
        <v>890</v>
      </c>
      <c r="D219" s="93" t="s">
        <v>892</v>
      </c>
    </row>
    <row r="220" spans="1:12" x14ac:dyDescent="0.25">
      <c r="A220" s="99" t="s">
        <v>922</v>
      </c>
      <c r="B220" t="s">
        <v>102</v>
      </c>
      <c r="C220" s="16">
        <v>0.1</v>
      </c>
      <c r="D220" s="13">
        <f>C220*C$69</f>
        <v>7.1999999999999995E-2</v>
      </c>
    </row>
    <row r="221" spans="1:12" x14ac:dyDescent="0.25">
      <c r="B221" t="s">
        <v>352</v>
      </c>
      <c r="C221" s="16">
        <v>0.67</v>
      </c>
      <c r="D221" s="13">
        <f t="shared" ref="D221:D223" si="14">C221*C$69</f>
        <v>0.4824</v>
      </c>
    </row>
    <row r="222" spans="1:12" x14ac:dyDescent="0.25">
      <c r="B222" t="s">
        <v>95</v>
      </c>
      <c r="C222" s="16">
        <v>0.13</v>
      </c>
      <c r="D222" s="13">
        <f t="shared" si="14"/>
        <v>9.3600000000000003E-2</v>
      </c>
    </row>
    <row r="223" spans="1:12" x14ac:dyDescent="0.25">
      <c r="A223" s="93"/>
      <c r="B223" s="93" t="s">
        <v>350</v>
      </c>
      <c r="C223" s="125">
        <v>0</v>
      </c>
      <c r="D223" s="102">
        <f t="shared" si="14"/>
        <v>0</v>
      </c>
    </row>
    <row r="224" spans="1:12" x14ac:dyDescent="0.25">
      <c r="A224" t="s">
        <v>927</v>
      </c>
      <c r="B224" t="s">
        <v>102</v>
      </c>
      <c r="C224" s="16">
        <v>0.15</v>
      </c>
      <c r="D224" s="13">
        <f>C224*C$66</f>
        <v>0.09</v>
      </c>
    </row>
    <row r="225" spans="1:4" x14ac:dyDescent="0.25">
      <c r="B225" t="s">
        <v>352</v>
      </c>
      <c r="C225" s="16">
        <v>0.4</v>
      </c>
      <c r="D225" s="13">
        <f t="shared" ref="D225:D243" si="15">C225*C$66</f>
        <v>0.24</v>
      </c>
    </row>
    <row r="226" spans="1:4" x14ac:dyDescent="0.25">
      <c r="B226" t="s">
        <v>95</v>
      </c>
      <c r="C226" s="16">
        <v>0.4</v>
      </c>
      <c r="D226" s="13">
        <f t="shared" si="15"/>
        <v>0.24</v>
      </c>
    </row>
    <row r="227" spans="1:4" x14ac:dyDescent="0.25">
      <c r="A227" s="93"/>
      <c r="B227" s="93" t="s">
        <v>350</v>
      </c>
      <c r="C227" s="125">
        <v>0.37</v>
      </c>
      <c r="D227" s="102">
        <f t="shared" si="15"/>
        <v>0.222</v>
      </c>
    </row>
    <row r="228" spans="1:4" x14ac:dyDescent="0.25">
      <c r="A228" t="s">
        <v>967</v>
      </c>
      <c r="B228" t="s">
        <v>102</v>
      </c>
      <c r="C228" s="16">
        <v>0.14000000000000001</v>
      </c>
      <c r="D228" s="13">
        <f t="shared" si="15"/>
        <v>8.4000000000000005E-2</v>
      </c>
    </row>
    <row r="229" spans="1:4" x14ac:dyDescent="0.25">
      <c r="B229" t="s">
        <v>352</v>
      </c>
      <c r="C229" s="16">
        <v>0.47</v>
      </c>
      <c r="D229" s="13">
        <f t="shared" si="15"/>
        <v>0.28199999999999997</v>
      </c>
    </row>
    <row r="230" spans="1:4" x14ac:dyDescent="0.25">
      <c r="B230" t="s">
        <v>95</v>
      </c>
      <c r="C230" s="16">
        <v>0.35</v>
      </c>
      <c r="D230" s="13">
        <f t="shared" si="15"/>
        <v>0.21</v>
      </c>
    </row>
    <row r="231" spans="1:4" x14ac:dyDescent="0.25">
      <c r="A231" s="93"/>
      <c r="B231" s="93" t="s">
        <v>350</v>
      </c>
      <c r="C231" s="125">
        <v>0.35</v>
      </c>
      <c r="D231" s="102">
        <f t="shared" si="15"/>
        <v>0.21</v>
      </c>
    </row>
    <row r="232" spans="1:4" x14ac:dyDescent="0.25">
      <c r="A232" t="s">
        <v>968</v>
      </c>
      <c r="B232" t="s">
        <v>102</v>
      </c>
      <c r="C232" s="16">
        <v>0.14000000000000001</v>
      </c>
      <c r="D232" s="13">
        <f t="shared" si="15"/>
        <v>8.4000000000000005E-2</v>
      </c>
    </row>
    <row r="233" spans="1:4" x14ac:dyDescent="0.25">
      <c r="B233" t="s">
        <v>352</v>
      </c>
      <c r="C233" s="16">
        <v>0.59</v>
      </c>
      <c r="D233" s="13">
        <f t="shared" si="15"/>
        <v>0.35399999999999998</v>
      </c>
    </row>
    <row r="234" spans="1:4" x14ac:dyDescent="0.25">
      <c r="B234" t="s">
        <v>95</v>
      </c>
      <c r="C234" s="16">
        <v>0.23</v>
      </c>
      <c r="D234" s="13">
        <f t="shared" si="15"/>
        <v>0.13800000000000001</v>
      </c>
    </row>
    <row r="235" spans="1:4" x14ac:dyDescent="0.25">
      <c r="A235" s="93"/>
      <c r="B235" s="93" t="s">
        <v>350</v>
      </c>
      <c r="C235" s="125">
        <v>0.35</v>
      </c>
      <c r="D235" s="102">
        <f t="shared" si="15"/>
        <v>0.21</v>
      </c>
    </row>
    <row r="236" spans="1:4" x14ac:dyDescent="0.25">
      <c r="A236" t="s">
        <v>961</v>
      </c>
      <c r="B236" t="s">
        <v>102</v>
      </c>
      <c r="C236" s="126">
        <v>0.13</v>
      </c>
      <c r="D236" s="13">
        <f t="shared" si="15"/>
        <v>7.8E-2</v>
      </c>
    </row>
    <row r="237" spans="1:4" x14ac:dyDescent="0.25">
      <c r="B237" t="s">
        <v>352</v>
      </c>
      <c r="C237" s="126">
        <v>0.61</v>
      </c>
      <c r="D237" s="13">
        <f t="shared" si="15"/>
        <v>0.36599999999999999</v>
      </c>
    </row>
    <row r="238" spans="1:4" x14ac:dyDescent="0.25">
      <c r="B238" t="s">
        <v>95</v>
      </c>
      <c r="C238" s="126">
        <v>0.19</v>
      </c>
      <c r="D238" s="13">
        <f t="shared" si="15"/>
        <v>0.11399999999999999</v>
      </c>
    </row>
    <row r="239" spans="1:4" x14ac:dyDescent="0.25">
      <c r="A239" s="93"/>
      <c r="B239" s="93" t="s">
        <v>350</v>
      </c>
      <c r="C239" s="127">
        <v>0.2</v>
      </c>
      <c r="D239" s="102">
        <f t="shared" si="15"/>
        <v>0.12</v>
      </c>
    </row>
    <row r="240" spans="1:4" x14ac:dyDescent="0.25">
      <c r="A240" t="s">
        <v>969</v>
      </c>
      <c r="B240" t="s">
        <v>102</v>
      </c>
      <c r="C240" s="126">
        <v>0.11</v>
      </c>
      <c r="D240" s="13">
        <f t="shared" si="15"/>
        <v>6.6000000000000003E-2</v>
      </c>
    </row>
    <row r="241" spans="1:8" x14ac:dyDescent="0.25">
      <c r="B241" t="s">
        <v>352</v>
      </c>
      <c r="C241" s="126">
        <v>0.75</v>
      </c>
      <c r="D241" s="13">
        <f t="shared" si="15"/>
        <v>0.44999999999999996</v>
      </c>
    </row>
    <row r="242" spans="1:8" x14ac:dyDescent="0.25">
      <c r="B242" t="s">
        <v>95</v>
      </c>
      <c r="C242" s="126">
        <v>0.09</v>
      </c>
      <c r="D242" s="13">
        <f t="shared" si="15"/>
        <v>5.3999999999999999E-2</v>
      </c>
    </row>
    <row r="243" spans="1:8" x14ac:dyDescent="0.25">
      <c r="A243" s="93"/>
      <c r="B243" s="93" t="s">
        <v>350</v>
      </c>
      <c r="C243" s="127">
        <v>0.09</v>
      </c>
      <c r="D243" s="102">
        <f t="shared" si="15"/>
        <v>5.3999999999999999E-2</v>
      </c>
    </row>
    <row r="244" spans="1:8" x14ac:dyDescent="0.25">
      <c r="A244" t="s">
        <v>921</v>
      </c>
      <c r="B244" t="s">
        <v>102</v>
      </c>
      <c r="C244" s="126">
        <v>0.1</v>
      </c>
      <c r="D244" s="13">
        <f>C244*C68</f>
        <v>5.3000000000000005E-2</v>
      </c>
    </row>
    <row r="245" spans="1:8" x14ac:dyDescent="0.25">
      <c r="B245" t="s">
        <v>352</v>
      </c>
      <c r="C245" s="126"/>
      <c r="D245" s="13"/>
    </row>
    <row r="246" spans="1:8" x14ac:dyDescent="0.25">
      <c r="B246" t="s">
        <v>95</v>
      </c>
      <c r="C246" s="126"/>
      <c r="D246" s="13"/>
    </row>
    <row r="247" spans="1:8" x14ac:dyDescent="0.25">
      <c r="A247" s="93"/>
      <c r="B247" s="93" t="s">
        <v>350</v>
      </c>
      <c r="C247" s="127"/>
      <c r="D247" s="102"/>
    </row>
    <row r="250" spans="1:8" x14ac:dyDescent="0.25">
      <c r="A250" s="5" t="s">
        <v>971</v>
      </c>
      <c r="B250" s="5"/>
      <c r="C250" s="5"/>
      <c r="D250" s="5"/>
      <c r="E250" s="5"/>
      <c r="F250" s="5"/>
      <c r="G250" s="5"/>
      <c r="H250" s="5"/>
    </row>
    <row r="251" spans="1:8" x14ac:dyDescent="0.25">
      <c r="A251" s="5" t="s">
        <v>970</v>
      </c>
      <c r="B251" s="5"/>
      <c r="C251" s="5"/>
      <c r="D251" s="5"/>
      <c r="E251" s="5"/>
      <c r="F251" s="5"/>
      <c r="G251" s="5"/>
      <c r="H251" s="5"/>
    </row>
    <row r="252" spans="1:8" x14ac:dyDescent="0.25">
      <c r="A252" s="18" t="s">
        <v>972</v>
      </c>
    </row>
    <row r="253" spans="1:8" x14ac:dyDescent="0.25">
      <c r="A253" t="s">
        <v>870</v>
      </c>
    </row>
    <row r="256" spans="1:8" x14ac:dyDescent="0.25">
      <c r="A256" s="100" t="s">
        <v>888</v>
      </c>
      <c r="B256" s="93" t="s">
        <v>889</v>
      </c>
      <c r="C256" s="67" t="s">
        <v>890</v>
      </c>
      <c r="D256" s="93" t="s">
        <v>892</v>
      </c>
    </row>
    <row r="257" spans="1:4" x14ac:dyDescent="0.25">
      <c r="A257" s="99" t="s">
        <v>922</v>
      </c>
      <c r="B257" t="s">
        <v>102</v>
      </c>
      <c r="C257" s="16">
        <v>0.12</v>
      </c>
      <c r="D257" s="13">
        <f>C257*C$69</f>
        <v>8.6399999999999991E-2</v>
      </c>
    </row>
    <row r="258" spans="1:4" x14ac:dyDescent="0.25">
      <c r="B258" t="s">
        <v>95</v>
      </c>
      <c r="C258" s="16">
        <v>0.14000000000000001</v>
      </c>
      <c r="D258" s="13">
        <f t="shared" ref="D258:D261" si="16">C258*C$69</f>
        <v>0.1008</v>
      </c>
    </row>
    <row r="259" spans="1:4" x14ac:dyDescent="0.25">
      <c r="B259" t="s">
        <v>352</v>
      </c>
      <c r="C259" s="16">
        <v>0.77</v>
      </c>
      <c r="D259" s="13">
        <f t="shared" si="16"/>
        <v>0.5544</v>
      </c>
    </row>
    <row r="260" spans="1:4" x14ac:dyDescent="0.25">
      <c r="B260" t="s">
        <v>350</v>
      </c>
      <c r="C260" s="16"/>
      <c r="D260" s="13"/>
    </row>
    <row r="261" spans="1:4" x14ac:dyDescent="0.25">
      <c r="A261" s="93"/>
      <c r="B261" s="93" t="s">
        <v>348</v>
      </c>
      <c r="C261" s="125">
        <v>0.02</v>
      </c>
      <c r="D261" s="102">
        <f t="shared" si="16"/>
        <v>1.44E-2</v>
      </c>
    </row>
    <row r="262" spans="1:4" x14ac:dyDescent="0.25">
      <c r="A262" t="s">
        <v>927</v>
      </c>
      <c r="B262" t="s">
        <v>102</v>
      </c>
      <c r="C262" s="126">
        <v>0.18</v>
      </c>
      <c r="D262" s="13">
        <f>C262*C$66</f>
        <v>0.108</v>
      </c>
    </row>
    <row r="263" spans="1:4" x14ac:dyDescent="0.25">
      <c r="B263" t="s">
        <v>95</v>
      </c>
      <c r="C263" s="16">
        <v>0.41</v>
      </c>
      <c r="D263" s="13">
        <f t="shared" ref="D263:D280" si="17">C263*C$66</f>
        <v>0.24599999999999997</v>
      </c>
    </row>
    <row r="264" spans="1:4" x14ac:dyDescent="0.25">
      <c r="B264" t="s">
        <v>352</v>
      </c>
      <c r="C264" s="16">
        <v>0.4</v>
      </c>
      <c r="D264" s="13">
        <f t="shared" si="17"/>
        <v>0.24</v>
      </c>
    </row>
    <row r="265" spans="1:4" x14ac:dyDescent="0.25">
      <c r="B265" t="s">
        <v>350</v>
      </c>
      <c r="C265" s="16">
        <v>0.38</v>
      </c>
      <c r="D265" s="13">
        <f t="shared" si="17"/>
        <v>0.22799999999999998</v>
      </c>
    </row>
    <row r="266" spans="1:4" x14ac:dyDescent="0.25">
      <c r="A266" s="93"/>
      <c r="B266" s="93" t="s">
        <v>348</v>
      </c>
      <c r="C266" s="125"/>
      <c r="D266" s="102"/>
    </row>
    <row r="267" spans="1:4" x14ac:dyDescent="0.25">
      <c r="A267" t="s">
        <v>968</v>
      </c>
      <c r="B267" t="s">
        <v>102</v>
      </c>
      <c r="C267" s="126">
        <v>0.14000000000000001</v>
      </c>
      <c r="D267" s="13">
        <f t="shared" si="17"/>
        <v>8.4000000000000005E-2</v>
      </c>
    </row>
    <row r="268" spans="1:4" x14ac:dyDescent="0.25">
      <c r="B268" t="s">
        <v>95</v>
      </c>
      <c r="C268" s="16">
        <v>0.22</v>
      </c>
      <c r="D268" s="13">
        <f t="shared" si="17"/>
        <v>0.13200000000000001</v>
      </c>
    </row>
    <row r="269" spans="1:4" x14ac:dyDescent="0.25">
      <c r="B269" t="s">
        <v>352</v>
      </c>
      <c r="C269" s="16">
        <v>0.55000000000000004</v>
      </c>
      <c r="D269" s="13">
        <f t="shared" si="17"/>
        <v>0.33</v>
      </c>
    </row>
    <row r="270" spans="1:4" x14ac:dyDescent="0.25">
      <c r="B270" t="s">
        <v>350</v>
      </c>
      <c r="C270" s="16">
        <v>0.31</v>
      </c>
      <c r="D270" s="13">
        <f t="shared" si="17"/>
        <v>0.186</v>
      </c>
    </row>
    <row r="271" spans="1:4" x14ac:dyDescent="0.25">
      <c r="A271" s="93"/>
      <c r="B271" s="93" t="s">
        <v>348</v>
      </c>
      <c r="C271" s="125"/>
      <c r="D271" s="102"/>
    </row>
    <row r="272" spans="1:4" x14ac:dyDescent="0.25">
      <c r="A272" t="s">
        <v>961</v>
      </c>
      <c r="B272" t="s">
        <v>102</v>
      </c>
      <c r="C272" s="126">
        <v>0.15</v>
      </c>
      <c r="D272" s="13">
        <f t="shared" si="17"/>
        <v>0.09</v>
      </c>
    </row>
    <row r="273" spans="1:4" x14ac:dyDescent="0.25">
      <c r="B273" t="s">
        <v>95</v>
      </c>
      <c r="C273" s="126">
        <v>0.2</v>
      </c>
      <c r="D273" s="13">
        <f t="shared" si="17"/>
        <v>0.12</v>
      </c>
    </row>
    <row r="274" spans="1:4" x14ac:dyDescent="0.25">
      <c r="B274" t="s">
        <v>352</v>
      </c>
      <c r="C274" s="126">
        <v>0.61</v>
      </c>
      <c r="D274" s="13">
        <f t="shared" si="17"/>
        <v>0.36599999999999999</v>
      </c>
    </row>
    <row r="275" spans="1:4" x14ac:dyDescent="0.25">
      <c r="B275" t="s">
        <v>350</v>
      </c>
      <c r="C275" s="126">
        <v>0.19</v>
      </c>
      <c r="D275" s="13">
        <f t="shared" si="17"/>
        <v>0.11399999999999999</v>
      </c>
    </row>
    <row r="276" spans="1:4" x14ac:dyDescent="0.25">
      <c r="A276" s="93"/>
      <c r="B276" s="93" t="s">
        <v>348</v>
      </c>
      <c r="C276" s="127"/>
      <c r="D276" s="102"/>
    </row>
    <row r="277" spans="1:4" x14ac:dyDescent="0.25">
      <c r="A277" t="s">
        <v>969</v>
      </c>
      <c r="B277" t="s">
        <v>102</v>
      </c>
      <c r="C277" s="126">
        <v>0.12</v>
      </c>
      <c r="D277" s="13">
        <f t="shared" si="17"/>
        <v>7.1999999999999995E-2</v>
      </c>
    </row>
    <row r="278" spans="1:4" x14ac:dyDescent="0.25">
      <c r="B278" t="s">
        <v>95</v>
      </c>
      <c r="C278" s="126">
        <v>0.1</v>
      </c>
      <c r="D278" s="13">
        <f t="shared" si="17"/>
        <v>0.06</v>
      </c>
    </row>
    <row r="279" spans="1:4" x14ac:dyDescent="0.25">
      <c r="B279" t="s">
        <v>352</v>
      </c>
      <c r="C279" s="126">
        <v>0.78</v>
      </c>
      <c r="D279" s="13">
        <f t="shared" si="17"/>
        <v>0.46799999999999997</v>
      </c>
    </row>
    <row r="280" spans="1:4" x14ac:dyDescent="0.25">
      <c r="B280" t="s">
        <v>350</v>
      </c>
      <c r="C280" s="126">
        <v>0.09</v>
      </c>
      <c r="D280" s="13">
        <f t="shared" si="17"/>
        <v>5.3999999999999999E-2</v>
      </c>
    </row>
    <row r="281" spans="1:4" x14ac:dyDescent="0.25">
      <c r="A281" s="93"/>
      <c r="B281" s="93" t="s">
        <v>348</v>
      </c>
      <c r="C281" s="127"/>
      <c r="D281" s="102"/>
    </row>
    <row r="282" spans="1:4" x14ac:dyDescent="0.25">
      <c r="A282" t="s">
        <v>920</v>
      </c>
      <c r="B282" t="s">
        <v>102</v>
      </c>
      <c r="C282" s="126">
        <v>0.13</v>
      </c>
      <c r="D282" s="13">
        <f>C282*C$67</f>
        <v>5.33E-2</v>
      </c>
    </row>
    <row r="283" spans="1:4" x14ac:dyDescent="0.25">
      <c r="B283" t="s">
        <v>95</v>
      </c>
      <c r="C283" s="126"/>
      <c r="D283" s="13"/>
    </row>
    <row r="284" spans="1:4" x14ac:dyDescent="0.25">
      <c r="B284" t="s">
        <v>352</v>
      </c>
      <c r="C284" s="126"/>
      <c r="D284" s="13"/>
    </row>
    <row r="285" spans="1:4" x14ac:dyDescent="0.25">
      <c r="B285" t="s">
        <v>350</v>
      </c>
      <c r="C285" s="126">
        <v>1.77</v>
      </c>
      <c r="D285" s="13">
        <f t="shared" ref="D285" si="18">C285*C$67</f>
        <v>0.72570000000000001</v>
      </c>
    </row>
    <row r="286" spans="1:4" x14ac:dyDescent="0.25">
      <c r="A286" s="93"/>
      <c r="B286" s="93" t="s">
        <v>348</v>
      </c>
      <c r="C286" s="127"/>
      <c r="D286" s="102"/>
    </row>
    <row r="287" spans="1:4" x14ac:dyDescent="0.25">
      <c r="A287" t="s">
        <v>921</v>
      </c>
      <c r="B287" t="s">
        <v>102</v>
      </c>
      <c r="C287" s="15">
        <v>0.12</v>
      </c>
      <c r="D287">
        <f>C287*C68</f>
        <v>6.3600000000000004E-2</v>
      </c>
    </row>
    <row r="288" spans="1:4" x14ac:dyDescent="0.25">
      <c r="B288" t="s">
        <v>95</v>
      </c>
      <c r="C288" s="126"/>
      <c r="D288" s="13"/>
    </row>
    <row r="289" spans="1:11" x14ac:dyDescent="0.25">
      <c r="B289" t="s">
        <v>352</v>
      </c>
      <c r="C289" s="126"/>
      <c r="D289" s="13"/>
    </row>
    <row r="290" spans="1:11" x14ac:dyDescent="0.25">
      <c r="B290" t="s">
        <v>350</v>
      </c>
      <c r="C290" s="126"/>
      <c r="D290" s="13"/>
    </row>
    <row r="291" spans="1:11" x14ac:dyDescent="0.25">
      <c r="A291" s="93"/>
      <c r="B291" s="93" t="s">
        <v>348</v>
      </c>
      <c r="C291" s="127"/>
      <c r="D291" s="102"/>
    </row>
    <row r="292" spans="1:11" x14ac:dyDescent="0.25">
      <c r="A292" t="s">
        <v>973</v>
      </c>
      <c r="B292" t="s">
        <v>102</v>
      </c>
      <c r="C292" s="15"/>
    </row>
    <row r="293" spans="1:11" x14ac:dyDescent="0.25">
      <c r="B293" t="s">
        <v>95</v>
      </c>
      <c r="C293" s="126">
        <v>0.17</v>
      </c>
      <c r="D293" s="13"/>
    </row>
    <row r="294" spans="1:11" x14ac:dyDescent="0.25">
      <c r="B294" t="s">
        <v>352</v>
      </c>
      <c r="C294" s="126">
        <v>4.1500000000000004</v>
      </c>
      <c r="D294" s="13"/>
    </row>
    <row r="295" spans="1:11" x14ac:dyDescent="0.25">
      <c r="B295" t="s">
        <v>350</v>
      </c>
      <c r="C295" s="126"/>
      <c r="D295" s="13"/>
    </row>
    <row r="296" spans="1:11" x14ac:dyDescent="0.25">
      <c r="A296" s="93"/>
      <c r="B296" s="93" t="s">
        <v>348</v>
      </c>
      <c r="C296" s="127"/>
      <c r="D296" s="102"/>
    </row>
    <row r="299" spans="1:11" x14ac:dyDescent="0.25">
      <c r="A299" s="6" t="s">
        <v>975</v>
      </c>
      <c r="B299" s="6"/>
      <c r="C299" s="6"/>
      <c r="D299" s="6"/>
      <c r="E299" s="6"/>
      <c r="F299" s="6"/>
      <c r="G299" s="6"/>
      <c r="H299" s="6"/>
      <c r="I299" s="6"/>
      <c r="J299" s="6"/>
      <c r="K299" s="6"/>
    </row>
    <row r="300" spans="1:11" x14ac:dyDescent="0.25">
      <c r="A300" s="6" t="s">
        <v>974</v>
      </c>
      <c r="B300" s="6"/>
      <c r="C300" s="6"/>
      <c r="D300" s="6"/>
      <c r="E300" s="6"/>
      <c r="F300" s="6"/>
      <c r="G300" s="6"/>
      <c r="H300" s="6"/>
      <c r="I300" s="6"/>
      <c r="J300" s="6"/>
      <c r="K300" s="6"/>
    </row>
    <row r="301" spans="1:11" x14ac:dyDescent="0.25">
      <c r="A301" s="18" t="s">
        <v>976</v>
      </c>
    </row>
    <row r="303" spans="1:11" x14ac:dyDescent="0.25">
      <c r="A303" t="s">
        <v>979</v>
      </c>
    </row>
    <row r="307" spans="1:11" x14ac:dyDescent="0.25">
      <c r="A307" s="5" t="s">
        <v>978</v>
      </c>
      <c r="B307" s="5"/>
      <c r="C307" s="5"/>
      <c r="D307" s="5"/>
      <c r="E307" s="5"/>
      <c r="F307" s="5"/>
      <c r="G307" s="5"/>
      <c r="H307" s="5"/>
      <c r="I307" s="5"/>
      <c r="J307" s="5"/>
      <c r="K307" s="5"/>
    </row>
    <row r="308" spans="1:11" x14ac:dyDescent="0.25">
      <c r="A308" s="5" t="s">
        <v>977</v>
      </c>
      <c r="B308" s="5"/>
      <c r="C308" s="5"/>
      <c r="D308" s="5"/>
      <c r="E308" s="5"/>
      <c r="F308" s="5"/>
      <c r="G308" s="5"/>
      <c r="H308" s="5"/>
      <c r="I308" s="5"/>
      <c r="J308" s="5"/>
      <c r="K308" s="5"/>
    </row>
    <row r="309" spans="1:11" x14ac:dyDescent="0.25">
      <c r="A309" s="18" t="s">
        <v>988</v>
      </c>
    </row>
    <row r="310" spans="1:11" x14ac:dyDescent="0.25">
      <c r="A310" t="s">
        <v>989</v>
      </c>
    </row>
    <row r="312" spans="1:11" x14ac:dyDescent="0.25">
      <c r="A312" t="s">
        <v>888</v>
      </c>
      <c r="B312" t="s">
        <v>980</v>
      </c>
      <c r="C312" t="s">
        <v>981</v>
      </c>
    </row>
    <row r="313" spans="1:11" x14ac:dyDescent="0.25">
      <c r="A313" t="s">
        <v>918</v>
      </c>
      <c r="B313" s="15">
        <f>AVERAGE(140,200)</f>
        <v>170</v>
      </c>
      <c r="C313">
        <f>B313*C65</f>
        <v>98.6</v>
      </c>
    </row>
    <row r="314" spans="1:11" x14ac:dyDescent="0.25">
      <c r="A314" t="s">
        <v>982</v>
      </c>
      <c r="B314" s="15">
        <f>AVERAGE(120,180)</f>
        <v>150</v>
      </c>
    </row>
    <row r="315" spans="1:11" x14ac:dyDescent="0.25">
      <c r="A315" t="s">
        <v>983</v>
      </c>
      <c r="B315" s="15">
        <f>AVERAGE(150,220)</f>
        <v>185</v>
      </c>
    </row>
    <row r="316" spans="1:11" x14ac:dyDescent="0.25">
      <c r="A316" t="s">
        <v>984</v>
      </c>
      <c r="B316">
        <f>AVERAGE(170,250)</f>
        <v>210</v>
      </c>
    </row>
    <row r="317" spans="1:11" x14ac:dyDescent="0.25">
      <c r="A317" t="s">
        <v>985</v>
      </c>
      <c r="B317">
        <f>AVERAGE(100,120)</f>
        <v>110</v>
      </c>
    </row>
    <row r="319" spans="1:11" x14ac:dyDescent="0.25">
      <c r="B319" s="15" t="s">
        <v>1340</v>
      </c>
    </row>
    <row r="330" spans="1:11" x14ac:dyDescent="0.25">
      <c r="A330" s="5" t="s">
        <v>987</v>
      </c>
      <c r="B330" s="5"/>
      <c r="C330" s="5"/>
      <c r="D330" s="5"/>
      <c r="E330" s="5"/>
      <c r="F330" s="5"/>
      <c r="G330" s="5"/>
      <c r="H330" s="5"/>
      <c r="I330" s="5"/>
      <c r="J330" s="5"/>
      <c r="K330" s="5"/>
    </row>
    <row r="331" spans="1:11" x14ac:dyDescent="0.25">
      <c r="A331" s="5" t="s">
        <v>986</v>
      </c>
      <c r="B331" s="5"/>
      <c r="C331" s="5"/>
      <c r="D331" s="5"/>
      <c r="E331" s="5"/>
      <c r="F331" s="5"/>
      <c r="G331" s="5"/>
      <c r="H331" s="5"/>
      <c r="I331" s="5"/>
      <c r="J331" s="5"/>
      <c r="K331" s="5"/>
    </row>
    <row r="332" spans="1:11" x14ac:dyDescent="0.25">
      <c r="A332" s="18" t="s">
        <v>990</v>
      </c>
    </row>
    <row r="333" spans="1:11" x14ac:dyDescent="0.25">
      <c r="A333" t="s">
        <v>992</v>
      </c>
    </row>
    <row r="335" spans="1:11" x14ac:dyDescent="0.25">
      <c r="A335" s="93" t="s">
        <v>888</v>
      </c>
      <c r="B335" s="93" t="s">
        <v>889</v>
      </c>
      <c r="C335" s="67" t="s">
        <v>890</v>
      </c>
      <c r="D335" s="93" t="s">
        <v>892</v>
      </c>
    </row>
    <row r="336" spans="1:11" x14ac:dyDescent="0.25">
      <c r="A336" t="s">
        <v>921</v>
      </c>
      <c r="B336" t="s">
        <v>246</v>
      </c>
      <c r="C336" s="15"/>
    </row>
    <row r="337" spans="1:4" x14ac:dyDescent="0.25">
      <c r="B337" t="s">
        <v>265</v>
      </c>
      <c r="C337" s="15"/>
    </row>
    <row r="338" spans="1:4" x14ac:dyDescent="0.25">
      <c r="A338" s="93"/>
      <c r="B338" s="93" t="s">
        <v>630</v>
      </c>
      <c r="C338" s="67"/>
      <c r="D338" s="93"/>
    </row>
    <row r="339" spans="1:4" x14ac:dyDescent="0.25">
      <c r="A339" t="s">
        <v>991</v>
      </c>
      <c r="B339" t="s">
        <v>246</v>
      </c>
      <c r="C339" s="15">
        <v>0.29299999999999998</v>
      </c>
      <c r="D339">
        <f>C339*0.135</f>
        <v>3.9555E-2</v>
      </c>
    </row>
    <row r="340" spans="1:4" x14ac:dyDescent="0.25">
      <c r="B340" t="s">
        <v>265</v>
      </c>
      <c r="C340" s="15">
        <v>0.28899999999999998</v>
      </c>
      <c r="D340">
        <f t="shared" ref="D340:D341" si="19">C340*0.135</f>
        <v>3.9015000000000001E-2</v>
      </c>
    </row>
    <row r="341" spans="1:4" x14ac:dyDescent="0.25">
      <c r="A341" s="93"/>
      <c r="B341" s="93" t="s">
        <v>630</v>
      </c>
      <c r="C341" s="67">
        <v>0.27</v>
      </c>
      <c r="D341" s="93">
        <f t="shared" si="19"/>
        <v>3.6450000000000003E-2</v>
      </c>
    </row>
    <row r="342" spans="1:4" x14ac:dyDescent="0.25">
      <c r="A342" t="s">
        <v>922</v>
      </c>
      <c r="B342" t="s">
        <v>246</v>
      </c>
      <c r="C342" s="128">
        <v>0.124</v>
      </c>
      <c r="D342">
        <f>C342*0.132</f>
        <v>1.6368000000000001E-2</v>
      </c>
    </row>
    <row r="343" spans="1:4" x14ac:dyDescent="0.25">
      <c r="B343" t="s">
        <v>265</v>
      </c>
      <c r="C343" s="128">
        <v>0.65900000000000003</v>
      </c>
      <c r="D343">
        <f t="shared" ref="D343" si="20">C343*0.132</f>
        <v>8.698800000000001E-2</v>
      </c>
    </row>
    <row r="344" spans="1:4" x14ac:dyDescent="0.25">
      <c r="A344" s="93"/>
      <c r="B344" s="93" t="s">
        <v>630</v>
      </c>
      <c r="C344" s="67"/>
      <c r="D344" s="93"/>
    </row>
    <row r="345" spans="1:4" x14ac:dyDescent="0.25">
      <c r="A345" t="s">
        <v>920</v>
      </c>
      <c r="B345" t="s">
        <v>246</v>
      </c>
      <c r="C345" s="15"/>
    </row>
    <row r="346" spans="1:4" x14ac:dyDescent="0.25">
      <c r="B346" t="s">
        <v>265</v>
      </c>
      <c r="C346" s="15"/>
    </row>
    <row r="347" spans="1:4" x14ac:dyDescent="0.25">
      <c r="A347" s="93"/>
      <c r="B347" s="93" t="s">
        <v>630</v>
      </c>
      <c r="C347" s="67">
        <v>0.61</v>
      </c>
      <c r="D347" s="93">
        <f>C347*0.094</f>
        <v>5.7340000000000002E-2</v>
      </c>
    </row>
    <row r="348" spans="1:4" x14ac:dyDescent="0.25">
      <c r="A348" t="s">
        <v>1341</v>
      </c>
      <c r="B348" t="s">
        <v>246</v>
      </c>
      <c r="C348" s="15"/>
    </row>
    <row r="349" spans="1:4" x14ac:dyDescent="0.25">
      <c r="B349" t="s">
        <v>265</v>
      </c>
      <c r="C349" s="24">
        <v>0.5</v>
      </c>
    </row>
    <row r="350" spans="1:4" x14ac:dyDescent="0.25">
      <c r="A350" s="93"/>
      <c r="B350" s="93" t="s">
        <v>630</v>
      </c>
      <c r="C350" s="67"/>
      <c r="D350" s="93"/>
    </row>
    <row r="354" spans="1:12" x14ac:dyDescent="0.25">
      <c r="A354" s="5" t="s">
        <v>994</v>
      </c>
      <c r="B354" s="5"/>
      <c r="C354" s="5"/>
      <c r="D354" s="5"/>
      <c r="E354" s="5"/>
      <c r="F354" s="5"/>
      <c r="G354" s="5"/>
      <c r="H354" s="5"/>
      <c r="I354" s="5"/>
      <c r="J354" s="5"/>
      <c r="K354" s="5"/>
      <c r="L354" s="5"/>
    </row>
    <row r="355" spans="1:12" x14ac:dyDescent="0.25">
      <c r="A355" s="5" t="s">
        <v>993</v>
      </c>
      <c r="B355" s="5"/>
      <c r="C355" s="5"/>
      <c r="D355" s="5"/>
      <c r="E355" s="5"/>
      <c r="F355" s="5"/>
      <c r="G355" s="5"/>
      <c r="H355" s="5"/>
      <c r="I355" s="5"/>
      <c r="J355" s="5"/>
      <c r="K355" s="5"/>
      <c r="L355" s="5"/>
    </row>
    <row r="356" spans="1:12" x14ac:dyDescent="0.25">
      <c r="A356" s="18" t="s">
        <v>995</v>
      </c>
    </row>
    <row r="357" spans="1:12" x14ac:dyDescent="0.25">
      <c r="A357" t="s">
        <v>996</v>
      </c>
    </row>
    <row r="359" spans="1:12" x14ac:dyDescent="0.25">
      <c r="A359" t="s">
        <v>921</v>
      </c>
    </row>
    <row r="360" spans="1:12" x14ac:dyDescent="0.25">
      <c r="B360" s="15" t="s">
        <v>905</v>
      </c>
      <c r="C360" t="s">
        <v>941</v>
      </c>
    </row>
    <row r="361" spans="1:12" x14ac:dyDescent="0.25">
      <c r="A361" t="s">
        <v>102</v>
      </c>
      <c r="B361" s="15">
        <v>0.20530000000000001</v>
      </c>
      <c r="C361">
        <f>B361*0.93</f>
        <v>0.19092900000000002</v>
      </c>
      <c r="D361" t="s">
        <v>997</v>
      </c>
    </row>
    <row r="362" spans="1:12" x14ac:dyDescent="0.25">
      <c r="D362" s="9" t="s">
        <v>998</v>
      </c>
    </row>
    <row r="365" spans="1:12" x14ac:dyDescent="0.25">
      <c r="A365" s="5" t="s">
        <v>999</v>
      </c>
      <c r="B365" s="5"/>
      <c r="C365" s="5"/>
      <c r="D365" s="5"/>
      <c r="E365" s="5"/>
      <c r="F365" s="5"/>
      <c r="G365" s="5"/>
      <c r="H365" s="5"/>
      <c r="I365" s="5"/>
      <c r="J365" s="5"/>
      <c r="K365" s="5"/>
      <c r="L365" s="5"/>
    </row>
    <row r="366" spans="1:12" x14ac:dyDescent="0.25">
      <c r="A366" s="89" t="s">
        <v>411</v>
      </c>
      <c r="B366" s="5"/>
      <c r="C366" s="5"/>
      <c r="D366" s="5"/>
      <c r="E366" s="5"/>
      <c r="F366" s="5"/>
      <c r="G366" s="5"/>
      <c r="H366" s="5"/>
      <c r="I366" s="5"/>
      <c r="J366" s="5"/>
      <c r="K366" s="5"/>
      <c r="L366" s="5"/>
    </row>
    <row r="367" spans="1:12" x14ac:dyDescent="0.25">
      <c r="A367" s="18" t="s">
        <v>416</v>
      </c>
    </row>
    <row r="368" spans="1:12" x14ac:dyDescent="0.25">
      <c r="A368" t="s">
        <v>1000</v>
      </c>
    </row>
    <row r="370" spans="1:6" x14ac:dyDescent="0.25">
      <c r="B370" t="s">
        <v>449</v>
      </c>
      <c r="C370" t="s">
        <v>450</v>
      </c>
      <c r="D370" t="s">
        <v>458</v>
      </c>
      <c r="E370" t="s">
        <v>453</v>
      </c>
    </row>
    <row r="371" spans="1:6" x14ac:dyDescent="0.25">
      <c r="A371" t="s">
        <v>1001</v>
      </c>
      <c r="B371">
        <v>35</v>
      </c>
      <c r="C371">
        <v>1</v>
      </c>
      <c r="D371">
        <v>8.1999999999999993</v>
      </c>
      <c r="E371">
        <v>1.3</v>
      </c>
    </row>
    <row r="372" spans="1:6" x14ac:dyDescent="0.25">
      <c r="A372" t="s">
        <v>1002</v>
      </c>
      <c r="B372">
        <v>0.15</v>
      </c>
      <c r="C372">
        <v>0.1</v>
      </c>
      <c r="D372">
        <v>0.13500000000000001</v>
      </c>
      <c r="E372">
        <v>0.1</v>
      </c>
    </row>
    <row r="375" spans="1:6" x14ac:dyDescent="0.25">
      <c r="A375" s="26" t="s">
        <v>922</v>
      </c>
    </row>
    <row r="376" spans="1:6" x14ac:dyDescent="0.25">
      <c r="B376" s="150" t="s">
        <v>1003</v>
      </c>
      <c r="C376" s="150"/>
      <c r="D376" s="150"/>
      <c r="E376" s="150"/>
    </row>
    <row r="377" spans="1:6" x14ac:dyDescent="0.25">
      <c r="B377" t="s">
        <v>449</v>
      </c>
      <c r="C377" t="s">
        <v>450</v>
      </c>
      <c r="D377" t="s">
        <v>458</v>
      </c>
      <c r="E377" t="s">
        <v>453</v>
      </c>
    </row>
    <row r="378" spans="1:6" x14ac:dyDescent="0.25">
      <c r="A378" t="s">
        <v>102</v>
      </c>
      <c r="B378">
        <v>6.23</v>
      </c>
      <c r="C378">
        <v>0.13</v>
      </c>
      <c r="D378">
        <v>1.06</v>
      </c>
      <c r="E378">
        <v>0.17</v>
      </c>
    </row>
    <row r="379" spans="1:6" x14ac:dyDescent="0.25">
      <c r="A379" t="s">
        <v>352</v>
      </c>
      <c r="B379">
        <v>46.65</v>
      </c>
      <c r="C379">
        <v>0.97</v>
      </c>
      <c r="D379">
        <v>7.97</v>
      </c>
      <c r="E379">
        <v>1.26</v>
      </c>
    </row>
    <row r="380" spans="1:6" x14ac:dyDescent="0.25">
      <c r="A380" t="s">
        <v>95</v>
      </c>
      <c r="B380">
        <v>8.44</v>
      </c>
      <c r="C380">
        <v>0.18</v>
      </c>
      <c r="D380">
        <v>1.44</v>
      </c>
      <c r="E380">
        <v>0.26</v>
      </c>
    </row>
    <row r="381" spans="1:6" x14ac:dyDescent="0.25">
      <c r="B381" s="150" t="s">
        <v>1004</v>
      </c>
      <c r="C381" s="150"/>
      <c r="D381" s="150"/>
      <c r="E381" s="150"/>
    </row>
    <row r="382" spans="1:6" x14ac:dyDescent="0.25">
      <c r="B382" t="s">
        <v>449</v>
      </c>
      <c r="C382" t="s">
        <v>450</v>
      </c>
      <c r="D382" t="s">
        <v>458</v>
      </c>
      <c r="E382" t="s">
        <v>453</v>
      </c>
      <c r="F382" s="15" t="s">
        <v>1006</v>
      </c>
    </row>
    <row r="383" spans="1:6" x14ac:dyDescent="0.25">
      <c r="A383" t="s">
        <v>102</v>
      </c>
      <c r="B383">
        <f>B378/B$371</f>
        <v>0.17800000000000002</v>
      </c>
      <c r="C383">
        <f t="shared" ref="C383:E383" si="21">C378/C$371</f>
        <v>0.13</v>
      </c>
      <c r="D383">
        <f t="shared" si="21"/>
        <v>0.12926829268292686</v>
      </c>
      <c r="E383">
        <f t="shared" si="21"/>
        <v>0.13076923076923078</v>
      </c>
      <c r="F383" s="16">
        <f>AVERAGE(B383:E383)</f>
        <v>0.14200938086303941</v>
      </c>
    </row>
    <row r="384" spans="1:6" x14ac:dyDescent="0.25">
      <c r="A384" t="s">
        <v>352</v>
      </c>
      <c r="B384">
        <f t="shared" ref="B384:E384" si="22">B379/B$371</f>
        <v>1.3328571428571427</v>
      </c>
      <c r="C384">
        <f t="shared" si="22"/>
        <v>0.97</v>
      </c>
      <c r="D384">
        <f t="shared" si="22"/>
        <v>0.97195121951219521</v>
      </c>
      <c r="E384">
        <f t="shared" si="22"/>
        <v>0.96923076923076923</v>
      </c>
      <c r="F384" s="16">
        <f t="shared" ref="F384:F389" si="23">AVERAGE(B384:E384)</f>
        <v>1.0610097829000267</v>
      </c>
    </row>
    <row r="385" spans="1:6" x14ac:dyDescent="0.25">
      <c r="A385" t="s">
        <v>95</v>
      </c>
      <c r="B385">
        <f t="shared" ref="B385:E385" si="24">B380/B$371</f>
        <v>0.24114285714285713</v>
      </c>
      <c r="C385">
        <f t="shared" si="24"/>
        <v>0.18</v>
      </c>
      <c r="D385">
        <f t="shared" si="24"/>
        <v>0.17560975609756099</v>
      </c>
      <c r="E385">
        <f t="shared" si="24"/>
        <v>0.2</v>
      </c>
      <c r="F385" s="16">
        <f t="shared" si="23"/>
        <v>0.19918815331010453</v>
      </c>
    </row>
    <row r="386" spans="1:6" x14ac:dyDescent="0.25">
      <c r="B386" s="150" t="s">
        <v>1005</v>
      </c>
      <c r="C386" s="150"/>
      <c r="D386" s="150"/>
      <c r="E386" s="150"/>
      <c r="F386" s="13"/>
    </row>
    <row r="387" spans="1:6" x14ac:dyDescent="0.25">
      <c r="A387" t="s">
        <v>102</v>
      </c>
      <c r="B387">
        <f>B383*B$372</f>
        <v>2.6700000000000002E-2</v>
      </c>
      <c r="C387">
        <f t="shared" ref="C387:E387" si="25">C383*C$372</f>
        <v>1.3000000000000001E-2</v>
      </c>
      <c r="D387">
        <f t="shared" si="25"/>
        <v>1.7451219512195127E-2</v>
      </c>
      <c r="E387">
        <f t="shared" si="25"/>
        <v>1.3076923076923078E-2</v>
      </c>
      <c r="F387" s="53">
        <f t="shared" si="23"/>
        <v>1.7557035647279551E-2</v>
      </c>
    </row>
    <row r="388" spans="1:6" x14ac:dyDescent="0.25">
      <c r="A388" t="s">
        <v>352</v>
      </c>
      <c r="B388">
        <f t="shared" ref="B388:E388" si="26">B384*B$372</f>
        <v>0.1999285714285714</v>
      </c>
      <c r="C388">
        <f t="shared" si="26"/>
        <v>9.7000000000000003E-2</v>
      </c>
      <c r="D388">
        <f t="shared" si="26"/>
        <v>0.13121341463414637</v>
      </c>
      <c r="E388">
        <f t="shared" si="26"/>
        <v>9.6923076923076931E-2</v>
      </c>
      <c r="F388" s="53">
        <f t="shared" si="23"/>
        <v>0.13126626574644867</v>
      </c>
    </row>
    <row r="389" spans="1:6" x14ac:dyDescent="0.25">
      <c r="A389" t="s">
        <v>95</v>
      </c>
      <c r="B389">
        <f t="shared" ref="B389:E389" si="27">B385*B$372</f>
        <v>3.617142857142857E-2</v>
      </c>
      <c r="C389">
        <f t="shared" si="27"/>
        <v>1.7999999999999999E-2</v>
      </c>
      <c r="D389">
        <f t="shared" si="27"/>
        <v>2.3707317073170735E-2</v>
      </c>
      <c r="E389">
        <f t="shared" si="27"/>
        <v>2.0000000000000004E-2</v>
      </c>
      <c r="F389" s="53">
        <f t="shared" si="23"/>
        <v>2.4469686411149827E-2</v>
      </c>
    </row>
    <row r="392" spans="1:6" x14ac:dyDescent="0.25">
      <c r="A392" s="26" t="s">
        <v>921</v>
      </c>
    </row>
    <row r="393" spans="1:6" x14ac:dyDescent="0.25">
      <c r="B393" s="150" t="s">
        <v>1003</v>
      </c>
      <c r="C393" s="150"/>
      <c r="D393" s="150"/>
      <c r="E393" s="150"/>
    </row>
    <row r="394" spans="1:6" x14ac:dyDescent="0.25">
      <c r="B394" t="s">
        <v>449</v>
      </c>
      <c r="C394" t="s">
        <v>450</v>
      </c>
      <c r="D394" t="s">
        <v>458</v>
      </c>
      <c r="E394" t="s">
        <v>453</v>
      </c>
    </row>
    <row r="395" spans="1:6" x14ac:dyDescent="0.25">
      <c r="A395" t="s">
        <v>102</v>
      </c>
      <c r="B395">
        <v>4.5199999999999996</v>
      </c>
      <c r="C395">
        <v>0.09</v>
      </c>
      <c r="D395">
        <v>0.77</v>
      </c>
      <c r="E395">
        <v>0.12</v>
      </c>
    </row>
    <row r="396" spans="1:6" x14ac:dyDescent="0.25">
      <c r="B396" s="150" t="s">
        <v>1004</v>
      </c>
      <c r="C396" s="150"/>
      <c r="D396" s="150"/>
      <c r="E396" s="150"/>
    </row>
    <row r="397" spans="1:6" x14ac:dyDescent="0.25">
      <c r="B397" t="s">
        <v>449</v>
      </c>
      <c r="C397" t="s">
        <v>450</v>
      </c>
      <c r="D397" t="s">
        <v>458</v>
      </c>
      <c r="E397" t="s">
        <v>453</v>
      </c>
      <c r="F397" s="15" t="s">
        <v>1006</v>
      </c>
    </row>
    <row r="398" spans="1:6" x14ac:dyDescent="0.25">
      <c r="A398" t="s">
        <v>102</v>
      </c>
      <c r="B398">
        <f>B395/B$371</f>
        <v>0.12914285714285714</v>
      </c>
      <c r="C398">
        <f>C395/C$371</f>
        <v>0.09</v>
      </c>
      <c r="D398">
        <f>D395/D$371</f>
        <v>9.3902439024390258E-2</v>
      </c>
      <c r="E398">
        <f>E395/E$371</f>
        <v>9.2307692307692299E-2</v>
      </c>
      <c r="F398" s="16">
        <f>AVERAGE(B398:E398)</f>
        <v>0.10133824711873493</v>
      </c>
    </row>
    <row r="399" spans="1:6" x14ac:dyDescent="0.25">
      <c r="B399" s="150" t="s">
        <v>1005</v>
      </c>
      <c r="C399" s="150"/>
      <c r="D399" s="150"/>
      <c r="E399" s="150"/>
      <c r="F399" s="13"/>
    </row>
    <row r="400" spans="1:6" x14ac:dyDescent="0.25">
      <c r="A400" t="s">
        <v>102</v>
      </c>
      <c r="B400">
        <f>B398*B$372</f>
        <v>1.9371428571428571E-2</v>
      </c>
      <c r="C400">
        <f t="shared" ref="C400:E400" si="28">C398*C$372</f>
        <v>8.9999999999999993E-3</v>
      </c>
      <c r="D400">
        <f t="shared" si="28"/>
        <v>1.2676829268292686E-2</v>
      </c>
      <c r="E400">
        <f t="shared" si="28"/>
        <v>9.2307692307692299E-3</v>
      </c>
      <c r="F400" s="53">
        <f t="shared" ref="F400" si="29">AVERAGE(B400:E400)</f>
        <v>1.2569756767622621E-2</v>
      </c>
    </row>
    <row r="402" spans="1:6" x14ac:dyDescent="0.25">
      <c r="A402" s="26" t="s">
        <v>991</v>
      </c>
    </row>
    <row r="403" spans="1:6" x14ac:dyDescent="0.25">
      <c r="B403" s="150" t="s">
        <v>1003</v>
      </c>
      <c r="C403" s="150"/>
      <c r="D403" s="150"/>
      <c r="E403" s="150"/>
    </row>
    <row r="404" spans="1:6" x14ac:dyDescent="0.25">
      <c r="B404" t="s">
        <v>449</v>
      </c>
      <c r="C404" t="s">
        <v>450</v>
      </c>
      <c r="D404" t="s">
        <v>458</v>
      </c>
      <c r="E404" t="s">
        <v>453</v>
      </c>
    </row>
    <row r="405" spans="1:6" x14ac:dyDescent="0.25">
      <c r="A405" t="s">
        <v>102</v>
      </c>
      <c r="B405">
        <v>4.6399999999999997</v>
      </c>
      <c r="C405">
        <v>0.1</v>
      </c>
      <c r="D405">
        <v>0.79</v>
      </c>
      <c r="E405">
        <v>0.13</v>
      </c>
    </row>
    <row r="406" spans="1:6" x14ac:dyDescent="0.25">
      <c r="A406" t="s">
        <v>352</v>
      </c>
      <c r="B406">
        <v>14.43</v>
      </c>
      <c r="C406">
        <v>0.3</v>
      </c>
      <c r="D406">
        <v>2.46</v>
      </c>
      <c r="E406">
        <v>0.39</v>
      </c>
    </row>
    <row r="407" spans="1:6" x14ac:dyDescent="0.25">
      <c r="B407" s="150" t="s">
        <v>1004</v>
      </c>
      <c r="C407" s="150"/>
      <c r="D407" s="150"/>
      <c r="E407" s="150"/>
    </row>
    <row r="408" spans="1:6" x14ac:dyDescent="0.25">
      <c r="B408" t="s">
        <v>449</v>
      </c>
      <c r="C408" t="s">
        <v>450</v>
      </c>
      <c r="D408" t="s">
        <v>458</v>
      </c>
      <c r="E408" t="s">
        <v>453</v>
      </c>
      <c r="F408" s="15" t="s">
        <v>1006</v>
      </c>
    </row>
    <row r="409" spans="1:6" x14ac:dyDescent="0.25">
      <c r="A409" t="s">
        <v>102</v>
      </c>
      <c r="B409">
        <f t="shared" ref="B409:E410" si="30">B405/B$371</f>
        <v>0.13257142857142856</v>
      </c>
      <c r="C409">
        <f t="shared" si="30"/>
        <v>0.1</v>
      </c>
      <c r="D409">
        <f t="shared" si="30"/>
        <v>9.6341463414634163E-2</v>
      </c>
      <c r="E409">
        <f t="shared" si="30"/>
        <v>0.1</v>
      </c>
      <c r="F409" s="16">
        <f>AVERAGE(B409:E409)</f>
        <v>0.10722822299651569</v>
      </c>
    </row>
    <row r="410" spans="1:6" x14ac:dyDescent="0.25">
      <c r="A410" t="s">
        <v>352</v>
      </c>
      <c r="B410">
        <f t="shared" si="30"/>
        <v>0.41228571428571426</v>
      </c>
      <c r="C410">
        <f t="shared" si="30"/>
        <v>0.3</v>
      </c>
      <c r="D410">
        <f t="shared" si="30"/>
        <v>0.30000000000000004</v>
      </c>
      <c r="E410">
        <f t="shared" si="30"/>
        <v>0.3</v>
      </c>
      <c r="F410" s="16">
        <f t="shared" ref="F410" si="31">AVERAGE(B410:E410)</f>
        <v>0.32807142857142857</v>
      </c>
    </row>
    <row r="411" spans="1:6" x14ac:dyDescent="0.25">
      <c r="B411" s="150" t="s">
        <v>1005</v>
      </c>
      <c r="C411" s="150"/>
      <c r="D411" s="150"/>
      <c r="E411" s="150"/>
      <c r="F411" s="13"/>
    </row>
    <row r="412" spans="1:6" x14ac:dyDescent="0.25">
      <c r="A412" t="s">
        <v>102</v>
      </c>
      <c r="B412">
        <f>B409*B$372</f>
        <v>1.9885714285714284E-2</v>
      </c>
      <c r="C412">
        <f t="shared" ref="C412:E412" si="32">C409*C$372</f>
        <v>1.0000000000000002E-2</v>
      </c>
      <c r="D412">
        <f t="shared" si="32"/>
        <v>1.3006097560975613E-2</v>
      </c>
      <c r="E412">
        <f t="shared" si="32"/>
        <v>1.0000000000000002E-2</v>
      </c>
      <c r="F412" s="53">
        <f t="shared" ref="F412:F413" si="33">AVERAGE(B412:E412)</f>
        <v>1.3222952961672476E-2</v>
      </c>
    </row>
    <row r="413" spans="1:6" x14ac:dyDescent="0.25">
      <c r="A413" t="s">
        <v>352</v>
      </c>
      <c r="B413">
        <f t="shared" ref="B413:E413" si="34">B410*B$372</f>
        <v>6.1842857142857137E-2</v>
      </c>
      <c r="C413">
        <f t="shared" si="34"/>
        <v>0.03</v>
      </c>
      <c r="D413">
        <f t="shared" si="34"/>
        <v>4.0500000000000008E-2</v>
      </c>
      <c r="E413">
        <f t="shared" si="34"/>
        <v>0.03</v>
      </c>
      <c r="F413" s="53">
        <f t="shared" si="33"/>
        <v>4.0585714285714287E-2</v>
      </c>
    </row>
    <row r="417" spans="1:9" x14ac:dyDescent="0.25">
      <c r="A417" s="5" t="s">
        <v>1008</v>
      </c>
      <c r="B417" s="5"/>
      <c r="C417" s="5"/>
      <c r="D417" s="5"/>
      <c r="E417" s="5"/>
      <c r="F417" s="5"/>
      <c r="G417" s="5"/>
      <c r="H417" s="5"/>
      <c r="I417" s="5"/>
    </row>
    <row r="418" spans="1:9" x14ac:dyDescent="0.25">
      <c r="A418" s="5" t="s">
        <v>1007</v>
      </c>
      <c r="B418" s="5"/>
      <c r="C418" s="5"/>
      <c r="D418" s="5"/>
      <c r="E418" s="5"/>
      <c r="F418" s="5"/>
      <c r="G418" s="5"/>
      <c r="H418" s="5"/>
      <c r="I418" s="5"/>
    </row>
    <row r="419" spans="1:9" x14ac:dyDescent="0.25">
      <c r="A419" s="18" t="s">
        <v>1009</v>
      </c>
    </row>
    <row r="420" spans="1:9" x14ac:dyDescent="0.25">
      <c r="A420" t="s">
        <v>718</v>
      </c>
    </row>
    <row r="422" spans="1:9" x14ac:dyDescent="0.25">
      <c r="A422" s="93"/>
      <c r="B422" s="93"/>
      <c r="C422" s="93"/>
      <c r="D422" s="93"/>
    </row>
    <row r="423" spans="1:9" x14ac:dyDescent="0.25">
      <c r="A423" s="93" t="s">
        <v>888</v>
      </c>
      <c r="B423" s="93" t="s">
        <v>889</v>
      </c>
      <c r="C423" s="67" t="s">
        <v>890</v>
      </c>
      <c r="D423" s="93" t="s">
        <v>892</v>
      </c>
    </row>
    <row r="424" spans="1:9" x14ac:dyDescent="0.25">
      <c r="A424" t="s">
        <v>918</v>
      </c>
      <c r="B424" t="s">
        <v>102</v>
      </c>
      <c r="C424" s="15">
        <v>0.113</v>
      </c>
      <c r="D424">
        <f>C424*C$65</f>
        <v>6.5540000000000001E-2</v>
      </c>
    </row>
    <row r="425" spans="1:9" x14ac:dyDescent="0.25">
      <c r="B425" t="s">
        <v>95</v>
      </c>
      <c r="C425" s="15">
        <v>0.95899999999999996</v>
      </c>
      <c r="D425">
        <f t="shared" ref="D425:D427" si="35">C425*C$65</f>
        <v>0.55621999999999994</v>
      </c>
    </row>
    <row r="426" spans="1:9" x14ac:dyDescent="0.25">
      <c r="B426" t="s">
        <v>352</v>
      </c>
      <c r="C426" s="15">
        <v>0</v>
      </c>
      <c r="D426">
        <f t="shared" si="35"/>
        <v>0</v>
      </c>
    </row>
    <row r="427" spans="1:9" x14ac:dyDescent="0.25">
      <c r="A427" s="93"/>
      <c r="B427" s="93" t="s">
        <v>350</v>
      </c>
      <c r="C427" s="67">
        <v>0</v>
      </c>
      <c r="D427" s="93">
        <f t="shared" si="35"/>
        <v>0</v>
      </c>
    </row>
    <row r="428" spans="1:9" x14ac:dyDescent="0.25">
      <c r="A428" t="s">
        <v>922</v>
      </c>
      <c r="B428" t="s">
        <v>102</v>
      </c>
      <c r="C428" s="128">
        <v>0.112</v>
      </c>
      <c r="D428" s="95">
        <f>C428*C$69</f>
        <v>8.0640000000000003E-2</v>
      </c>
    </row>
    <row r="429" spans="1:9" x14ac:dyDescent="0.25">
      <c r="B429" t="s">
        <v>95</v>
      </c>
      <c r="C429" s="128">
        <v>0.14299999999999999</v>
      </c>
      <c r="D429" s="95">
        <f t="shared" ref="D429:D431" si="36">C429*C$69</f>
        <v>0.10295999999999998</v>
      </c>
    </row>
    <row r="430" spans="1:9" x14ac:dyDescent="0.25">
      <c r="B430" t="s">
        <v>352</v>
      </c>
      <c r="C430" s="128">
        <v>0.75900000000000001</v>
      </c>
      <c r="D430" s="95">
        <f t="shared" si="36"/>
        <v>0.54647999999999997</v>
      </c>
    </row>
    <row r="431" spans="1:9" x14ac:dyDescent="0.25">
      <c r="A431" s="93"/>
      <c r="B431" s="93" t="s">
        <v>350</v>
      </c>
      <c r="C431" s="67">
        <v>0</v>
      </c>
      <c r="D431" s="101">
        <f t="shared" si="36"/>
        <v>0</v>
      </c>
    </row>
    <row r="432" spans="1:9" x14ac:dyDescent="0.25">
      <c r="A432" t="s">
        <v>927</v>
      </c>
      <c r="B432" t="s">
        <v>102</v>
      </c>
      <c r="C432" s="128">
        <v>0.13900000000000001</v>
      </c>
      <c r="D432" s="95">
        <f>C432*C$66</f>
        <v>8.3400000000000002E-2</v>
      </c>
    </row>
    <row r="433" spans="1:10" x14ac:dyDescent="0.25">
      <c r="B433" t="s">
        <v>95</v>
      </c>
      <c r="C433" s="128">
        <v>0.39400000000000002</v>
      </c>
      <c r="D433" s="95">
        <f t="shared" ref="D433:D443" si="37">C433*C$66</f>
        <v>0.2364</v>
      </c>
    </row>
    <row r="434" spans="1:10" x14ac:dyDescent="0.25">
      <c r="B434" t="s">
        <v>352</v>
      </c>
      <c r="C434" s="128">
        <v>0.39200000000000002</v>
      </c>
      <c r="D434" s="95">
        <f t="shared" si="37"/>
        <v>0.23519999999999999</v>
      </c>
    </row>
    <row r="435" spans="1:10" x14ac:dyDescent="0.25">
      <c r="A435" s="93"/>
      <c r="B435" s="93" t="s">
        <v>350</v>
      </c>
      <c r="C435" s="67">
        <v>0.36699999999999999</v>
      </c>
      <c r="D435" s="101">
        <f t="shared" si="37"/>
        <v>0.22019999999999998</v>
      </c>
    </row>
    <row r="436" spans="1:10" x14ac:dyDescent="0.25">
      <c r="A436" t="s">
        <v>961</v>
      </c>
      <c r="B436" t="s">
        <v>102</v>
      </c>
      <c r="C436" s="128">
        <v>0.126</v>
      </c>
      <c r="D436" s="95">
        <f t="shared" si="37"/>
        <v>7.5600000000000001E-2</v>
      </c>
    </row>
    <row r="437" spans="1:10" x14ac:dyDescent="0.25">
      <c r="B437" t="s">
        <v>95</v>
      </c>
      <c r="C437" s="128">
        <v>0.214</v>
      </c>
      <c r="D437" s="95">
        <f t="shared" si="37"/>
        <v>0.12839999999999999</v>
      </c>
    </row>
    <row r="438" spans="1:10" x14ac:dyDescent="0.25">
      <c r="B438" t="s">
        <v>352</v>
      </c>
      <c r="C438" s="128">
        <v>0.64100000000000001</v>
      </c>
      <c r="D438" s="95">
        <f t="shared" si="37"/>
        <v>0.3846</v>
      </c>
    </row>
    <row r="439" spans="1:10" x14ac:dyDescent="0.25">
      <c r="A439" s="93"/>
      <c r="B439" s="93" t="s">
        <v>350</v>
      </c>
      <c r="C439" s="67">
        <v>0.2</v>
      </c>
      <c r="D439" s="101">
        <f t="shared" si="37"/>
        <v>0.12</v>
      </c>
    </row>
    <row r="440" spans="1:10" x14ac:dyDescent="0.25">
      <c r="A440" t="s">
        <v>969</v>
      </c>
      <c r="B440" t="s">
        <v>102</v>
      </c>
      <c r="C440" s="128">
        <v>0.111</v>
      </c>
      <c r="D440" s="95">
        <f t="shared" si="37"/>
        <v>6.6599999999999993E-2</v>
      </c>
    </row>
    <row r="441" spans="1:10" x14ac:dyDescent="0.25">
      <c r="B441" t="s">
        <v>95</v>
      </c>
      <c r="C441" s="128">
        <v>9.4E-2</v>
      </c>
      <c r="D441" s="95">
        <f t="shared" si="37"/>
        <v>5.6399999999999999E-2</v>
      </c>
    </row>
    <row r="442" spans="1:10" x14ac:dyDescent="0.25">
      <c r="B442" t="s">
        <v>352</v>
      </c>
      <c r="C442" s="128">
        <v>0.75</v>
      </c>
      <c r="D442" s="95">
        <f t="shared" si="37"/>
        <v>0.44999999999999996</v>
      </c>
    </row>
    <row r="443" spans="1:10" x14ac:dyDescent="0.25">
      <c r="A443" s="93"/>
      <c r="B443" s="93" t="s">
        <v>350</v>
      </c>
      <c r="C443" s="67">
        <v>8.7999999999999995E-2</v>
      </c>
      <c r="D443" s="101">
        <f t="shared" si="37"/>
        <v>5.2799999999999993E-2</v>
      </c>
    </row>
    <row r="446" spans="1:10" x14ac:dyDescent="0.25">
      <c r="A446" s="103" t="s">
        <v>1012</v>
      </c>
      <c r="B446" s="104"/>
      <c r="C446" s="104"/>
      <c r="D446" s="104"/>
      <c r="E446" s="104"/>
      <c r="F446" s="104"/>
      <c r="G446" s="104"/>
      <c r="H446" s="104"/>
      <c r="I446" s="104"/>
      <c r="J446" s="104"/>
    </row>
    <row r="447" spans="1:10" x14ac:dyDescent="0.25">
      <c r="A447" s="104" t="s">
        <v>1010</v>
      </c>
      <c r="B447" s="104"/>
      <c r="C447" s="104"/>
      <c r="D447" s="104"/>
      <c r="E447" s="104"/>
      <c r="F447" s="104"/>
      <c r="G447" s="104"/>
      <c r="H447" s="104"/>
      <c r="I447" s="104"/>
      <c r="J447" s="104"/>
    </row>
    <row r="448" spans="1:10" x14ac:dyDescent="0.25">
      <c r="A448" s="18" t="s">
        <v>1011</v>
      </c>
    </row>
    <row r="450" spans="1:4" x14ac:dyDescent="0.25">
      <c r="A450" s="93"/>
      <c r="B450" s="93"/>
      <c r="C450" s="93"/>
      <c r="D450" s="93"/>
    </row>
    <row r="451" spans="1:4" x14ac:dyDescent="0.25">
      <c r="A451" s="93" t="s">
        <v>888</v>
      </c>
      <c r="B451" s="93" t="s">
        <v>889</v>
      </c>
      <c r="C451" s="67" t="s">
        <v>890</v>
      </c>
      <c r="D451" s="93" t="s">
        <v>892</v>
      </c>
    </row>
    <row r="452" spans="1:4" x14ac:dyDescent="0.25">
      <c r="A452" t="s">
        <v>991</v>
      </c>
      <c r="B452" t="s">
        <v>102</v>
      </c>
      <c r="C452" s="15">
        <v>0.17699999999999999</v>
      </c>
      <c r="D452">
        <f>C452*0.086</f>
        <v>1.5221999999999998E-2</v>
      </c>
    </row>
    <row r="453" spans="1:4" x14ac:dyDescent="0.25">
      <c r="B453" t="s">
        <v>352</v>
      </c>
      <c r="C453" s="15">
        <v>0.45900000000000002</v>
      </c>
      <c r="D453">
        <f t="shared" ref="D453:D455" si="38">C453*0.086</f>
        <v>3.9473999999999995E-2</v>
      </c>
    </row>
    <row r="454" spans="1:4" x14ac:dyDescent="0.25">
      <c r="B454" t="s">
        <v>350</v>
      </c>
      <c r="C454" s="15">
        <v>0.432</v>
      </c>
      <c r="D454">
        <f t="shared" si="38"/>
        <v>3.7151999999999998E-2</v>
      </c>
    </row>
    <row r="455" spans="1:4" x14ac:dyDescent="0.25">
      <c r="A455" s="93"/>
      <c r="B455" s="93" t="s">
        <v>95</v>
      </c>
      <c r="C455" s="67">
        <v>0.46700000000000003</v>
      </c>
      <c r="D455" s="93">
        <f t="shared" si="38"/>
        <v>4.0161999999999996E-2</v>
      </c>
    </row>
    <row r="456" spans="1:4" x14ac:dyDescent="0.25">
      <c r="A456" t="s">
        <v>921</v>
      </c>
      <c r="B456" t="s">
        <v>102</v>
      </c>
      <c r="C456" s="128">
        <v>0.11899999999999999</v>
      </c>
      <c r="D456" s="95">
        <f>C456*0.071</f>
        <v>8.4489999999999982E-3</v>
      </c>
    </row>
    <row r="457" spans="1:4" x14ac:dyDescent="0.25">
      <c r="B457" t="s">
        <v>351</v>
      </c>
      <c r="C457" s="128">
        <v>1.03</v>
      </c>
      <c r="D457" s="95">
        <f t="shared" ref="D457:D458" si="39">C457*0.071</f>
        <v>7.3130000000000001E-2</v>
      </c>
    </row>
    <row r="458" spans="1:4" x14ac:dyDescent="0.25">
      <c r="A458" s="93"/>
      <c r="B458" s="93" t="s">
        <v>954</v>
      </c>
      <c r="C458" s="67">
        <v>0.47799999999999998</v>
      </c>
      <c r="D458" s="101">
        <f t="shared" si="39"/>
        <v>3.3937999999999996E-2</v>
      </c>
    </row>
    <row r="467" spans="1:10" x14ac:dyDescent="0.25">
      <c r="A467" s="103" t="s">
        <v>1014</v>
      </c>
      <c r="B467" s="104"/>
      <c r="C467" s="104"/>
      <c r="D467" s="104"/>
      <c r="E467" s="104"/>
      <c r="F467" s="104"/>
      <c r="G467" s="104"/>
      <c r="H467" s="104"/>
      <c r="I467" s="104"/>
      <c r="J467" s="104"/>
    </row>
    <row r="468" spans="1:10" x14ac:dyDescent="0.25">
      <c r="A468" s="104" t="s">
        <v>1013</v>
      </c>
      <c r="B468" s="104"/>
      <c r="C468" s="104"/>
      <c r="D468" s="104"/>
      <c r="E468" s="104"/>
      <c r="F468" s="104"/>
      <c r="G468" s="104"/>
      <c r="H468" s="104"/>
      <c r="I468" s="104"/>
      <c r="J468" s="104"/>
    </row>
    <row r="469" spans="1:10" x14ac:dyDescent="0.25">
      <c r="A469" s="18" t="s">
        <v>1015</v>
      </c>
    </row>
    <row r="470" spans="1:10" x14ac:dyDescent="0.25">
      <c r="A470" t="s">
        <v>1016</v>
      </c>
    </row>
    <row r="472" spans="1:10" x14ac:dyDescent="0.25">
      <c r="A472" s="93"/>
      <c r="B472" s="93"/>
      <c r="C472" s="93"/>
      <c r="D472" s="93"/>
    </row>
    <row r="473" spans="1:10" x14ac:dyDescent="0.25">
      <c r="A473" s="93" t="s">
        <v>888</v>
      </c>
      <c r="B473" s="93" t="s">
        <v>889</v>
      </c>
      <c r="C473" s="93" t="s">
        <v>892</v>
      </c>
      <c r="D473" s="67" t="s">
        <v>890</v>
      </c>
    </row>
    <row r="474" spans="1:10" x14ac:dyDescent="0.25">
      <c r="A474" s="95" t="s">
        <v>918</v>
      </c>
      <c r="B474" t="s">
        <v>102</v>
      </c>
      <c r="C474">
        <v>7.0000000000000007E-2</v>
      </c>
      <c r="D474" s="16">
        <f>C474/0.58</f>
        <v>0.12068965517241381</v>
      </c>
    </row>
    <row r="475" spans="1:10" x14ac:dyDescent="0.25">
      <c r="B475" t="s">
        <v>352</v>
      </c>
      <c r="D475" s="16"/>
    </row>
    <row r="476" spans="1:10" x14ac:dyDescent="0.25">
      <c r="B476" t="s">
        <v>95</v>
      </c>
      <c r="C476">
        <v>0.6</v>
      </c>
      <c r="D476" s="16">
        <f t="shared" ref="D476" si="40">C476/0.58</f>
        <v>1.0344827586206897</v>
      </c>
    </row>
    <row r="477" spans="1:10" x14ac:dyDescent="0.25">
      <c r="A477" s="93"/>
      <c r="B477" s="93" t="s">
        <v>350</v>
      </c>
      <c r="C477" s="93"/>
      <c r="D477" s="125"/>
    </row>
    <row r="478" spans="1:10" x14ac:dyDescent="0.25">
      <c r="A478" t="s">
        <v>920</v>
      </c>
      <c r="B478" t="s">
        <v>102</v>
      </c>
      <c r="C478">
        <v>0.04</v>
      </c>
      <c r="D478" s="126">
        <f>C478/0.42</f>
        <v>9.5238095238095247E-2</v>
      </c>
    </row>
    <row r="479" spans="1:10" x14ac:dyDescent="0.25">
      <c r="B479" t="s">
        <v>352</v>
      </c>
      <c r="D479" s="126"/>
    </row>
    <row r="480" spans="1:10" x14ac:dyDescent="0.25">
      <c r="B480" t="s">
        <v>95</v>
      </c>
      <c r="D480" s="126"/>
    </row>
    <row r="481" spans="1:4" x14ac:dyDescent="0.25">
      <c r="A481" s="93"/>
      <c r="B481" s="93" t="s">
        <v>350</v>
      </c>
      <c r="C481" s="93">
        <v>0.61</v>
      </c>
      <c r="D481" s="127">
        <f t="shared" ref="D481" si="41">C481/0.42</f>
        <v>1.4523809523809523</v>
      </c>
    </row>
    <row r="482" spans="1:4" x14ac:dyDescent="0.25">
      <c r="A482" t="s">
        <v>991</v>
      </c>
      <c r="B482" t="s">
        <v>102</v>
      </c>
      <c r="C482">
        <v>0.12</v>
      </c>
      <c r="D482" s="126">
        <f>C482/0.65</f>
        <v>0.1846153846153846</v>
      </c>
    </row>
    <row r="483" spans="1:4" x14ac:dyDescent="0.25">
      <c r="B483" t="s">
        <v>352</v>
      </c>
      <c r="C483">
        <v>0.34</v>
      </c>
      <c r="D483" s="126">
        <f t="shared" ref="D483:D485" si="42">C483/0.65</f>
        <v>0.52307692307692311</v>
      </c>
    </row>
    <row r="484" spans="1:4" x14ac:dyDescent="0.25">
      <c r="B484" t="s">
        <v>95</v>
      </c>
      <c r="C484">
        <v>0.34</v>
      </c>
      <c r="D484" s="126">
        <f t="shared" si="42"/>
        <v>0.52307692307692311</v>
      </c>
    </row>
    <row r="485" spans="1:4" x14ac:dyDescent="0.25">
      <c r="A485" s="93"/>
      <c r="B485" s="93" t="s">
        <v>350</v>
      </c>
      <c r="C485" s="93">
        <v>0.32</v>
      </c>
      <c r="D485" s="127">
        <f t="shared" si="42"/>
        <v>0.49230769230769228</v>
      </c>
    </row>
    <row r="486" spans="1:4" x14ac:dyDescent="0.25">
      <c r="A486" t="s">
        <v>922</v>
      </c>
      <c r="B486" t="s">
        <v>102</v>
      </c>
      <c r="C486" s="95">
        <v>0.04</v>
      </c>
      <c r="D486" s="126">
        <f>C486/0.76</f>
        <v>5.2631578947368418E-2</v>
      </c>
    </row>
    <row r="487" spans="1:4" x14ac:dyDescent="0.25">
      <c r="B487" t="s">
        <v>352</v>
      </c>
      <c r="C487" s="95">
        <v>0.2</v>
      </c>
      <c r="D487" s="126">
        <f t="shared" ref="D487:D490" si="43">C487/0.76</f>
        <v>0.26315789473684209</v>
      </c>
    </row>
    <row r="488" spans="1:4" x14ac:dyDescent="0.25">
      <c r="B488" t="s">
        <v>95</v>
      </c>
      <c r="C488" s="95">
        <v>0.32</v>
      </c>
      <c r="D488" s="126">
        <f t="shared" si="43"/>
        <v>0.42105263157894735</v>
      </c>
    </row>
    <row r="489" spans="1:4" x14ac:dyDescent="0.25">
      <c r="B489" t="s">
        <v>350</v>
      </c>
      <c r="C489" s="95"/>
      <c r="D489" s="126"/>
    </row>
    <row r="490" spans="1:4" x14ac:dyDescent="0.25">
      <c r="A490" s="93"/>
      <c r="B490" s="93" t="s">
        <v>348</v>
      </c>
      <c r="C490" s="93">
        <v>0.15</v>
      </c>
      <c r="D490" s="127">
        <f t="shared" si="43"/>
        <v>0.19736842105263158</v>
      </c>
    </row>
    <row r="491" spans="1:4" x14ac:dyDescent="0.25">
      <c r="A491" t="s">
        <v>921</v>
      </c>
      <c r="B491" t="s">
        <v>102</v>
      </c>
      <c r="C491">
        <v>0.04</v>
      </c>
      <c r="D491" s="126">
        <f>C491/0.578</f>
        <v>6.9204152249134954E-2</v>
      </c>
    </row>
    <row r="492" spans="1:4" x14ac:dyDescent="0.25">
      <c r="B492" t="s">
        <v>352</v>
      </c>
      <c r="D492" s="126"/>
    </row>
    <row r="493" spans="1:4" x14ac:dyDescent="0.25">
      <c r="B493" t="s">
        <v>95</v>
      </c>
      <c r="D493" s="126"/>
    </row>
    <row r="494" spans="1:4" x14ac:dyDescent="0.25">
      <c r="B494" t="s">
        <v>350</v>
      </c>
      <c r="D494" s="126"/>
    </row>
    <row r="495" spans="1:4" x14ac:dyDescent="0.25">
      <c r="A495" s="93"/>
      <c r="B495" s="93" t="s">
        <v>351</v>
      </c>
      <c r="C495" s="93">
        <v>0.35</v>
      </c>
      <c r="D495" s="127">
        <f t="shared" ref="D495" si="44">C495/0.578</f>
        <v>0.60553633217993075</v>
      </c>
    </row>
    <row r="496" spans="1:4" x14ac:dyDescent="0.25">
      <c r="A496" t="s">
        <v>1017</v>
      </c>
      <c r="B496" t="s">
        <v>102</v>
      </c>
      <c r="C496">
        <v>1</v>
      </c>
      <c r="D496" s="126">
        <f>C496/3.622</f>
        <v>0.27609055770292656</v>
      </c>
    </row>
    <row r="497" spans="1:10" x14ac:dyDescent="0.25">
      <c r="B497" t="s">
        <v>352</v>
      </c>
      <c r="D497" s="126"/>
    </row>
    <row r="498" spans="1:10" x14ac:dyDescent="0.25">
      <c r="B498" t="s">
        <v>95</v>
      </c>
      <c r="D498" s="126"/>
    </row>
    <row r="499" spans="1:10" x14ac:dyDescent="0.25">
      <c r="A499" s="93"/>
      <c r="B499" s="93" t="s">
        <v>350</v>
      </c>
      <c r="C499" s="93"/>
      <c r="D499" s="127"/>
    </row>
    <row r="500" spans="1:10" x14ac:dyDescent="0.25">
      <c r="A500" t="s">
        <v>1018</v>
      </c>
      <c r="B500" t="s">
        <v>102</v>
      </c>
      <c r="C500">
        <v>1</v>
      </c>
      <c r="D500" s="126">
        <f>C500/2.564</f>
        <v>0.39001560062402496</v>
      </c>
    </row>
    <row r="501" spans="1:10" x14ac:dyDescent="0.25">
      <c r="B501" t="s">
        <v>352</v>
      </c>
      <c r="D501" s="16"/>
    </row>
    <row r="502" spans="1:10" x14ac:dyDescent="0.25">
      <c r="B502" t="s">
        <v>95</v>
      </c>
      <c r="D502" s="15"/>
    </row>
    <row r="503" spans="1:10" x14ac:dyDescent="0.25">
      <c r="A503" s="93"/>
      <c r="B503" s="93" t="s">
        <v>350</v>
      </c>
      <c r="C503" s="93"/>
      <c r="D503" s="67"/>
    </row>
    <row r="506" spans="1:10" x14ac:dyDescent="0.25">
      <c r="A506" s="79" t="s">
        <v>1020</v>
      </c>
      <c r="B506" s="96"/>
      <c r="C506" s="96"/>
      <c r="D506" s="96"/>
      <c r="E506" s="96"/>
      <c r="F506" s="96"/>
      <c r="G506" s="96"/>
      <c r="H506" s="96"/>
      <c r="I506" s="96"/>
      <c r="J506" s="96"/>
    </row>
    <row r="507" spans="1:10" x14ac:dyDescent="0.25">
      <c r="A507" s="96" t="s">
        <v>1019</v>
      </c>
      <c r="B507" s="96"/>
      <c r="C507" s="96"/>
      <c r="D507" s="96"/>
      <c r="E507" s="96"/>
      <c r="F507" s="96"/>
      <c r="G507" s="96"/>
      <c r="H507" s="96"/>
      <c r="I507" s="96"/>
      <c r="J507" s="96"/>
    </row>
    <row r="508" spans="1:10" x14ac:dyDescent="0.25">
      <c r="A508" s="18" t="s">
        <v>1021</v>
      </c>
    </row>
    <row r="510" spans="1:10" x14ac:dyDescent="0.25">
      <c r="A510" t="s">
        <v>1022</v>
      </c>
    </row>
    <row r="514" spans="1:10" x14ac:dyDescent="0.25">
      <c r="A514" s="5" t="s">
        <v>1024</v>
      </c>
      <c r="B514" s="5"/>
      <c r="C514" s="5"/>
      <c r="D514" s="5"/>
      <c r="E514" s="5"/>
      <c r="F514" s="5"/>
      <c r="G514" s="5"/>
      <c r="H514" s="5"/>
      <c r="I514" s="5"/>
      <c r="J514" s="5"/>
    </row>
    <row r="515" spans="1:10" x14ac:dyDescent="0.25">
      <c r="A515" s="5" t="s">
        <v>1023</v>
      </c>
      <c r="B515" s="5"/>
      <c r="C515" s="5"/>
      <c r="D515" s="5"/>
      <c r="E515" s="5"/>
      <c r="F515" s="5"/>
      <c r="G515" s="5"/>
      <c r="H515" s="5"/>
      <c r="I515" s="5"/>
      <c r="J515" s="5"/>
    </row>
    <row r="516" spans="1:10" x14ac:dyDescent="0.25">
      <c r="A516" s="18" t="s">
        <v>1025</v>
      </c>
    </row>
    <row r="517" spans="1:10" x14ac:dyDescent="0.25">
      <c r="A517" t="s">
        <v>1026</v>
      </c>
    </row>
    <row r="518" spans="1:10" x14ac:dyDescent="0.25">
      <c r="A518" s="93"/>
      <c r="B518" s="93"/>
      <c r="C518" s="93"/>
      <c r="D518" s="93"/>
    </row>
    <row r="519" spans="1:10" x14ac:dyDescent="0.25">
      <c r="A519" s="93" t="s">
        <v>888</v>
      </c>
      <c r="B519" s="93" t="s">
        <v>889</v>
      </c>
      <c r="C519" s="93" t="s">
        <v>890</v>
      </c>
      <c r="D519" s="93" t="s">
        <v>892</v>
      </c>
    </row>
    <row r="520" spans="1:10" x14ac:dyDescent="0.25">
      <c r="A520" t="s">
        <v>918</v>
      </c>
      <c r="B520" t="s">
        <v>102</v>
      </c>
      <c r="C520">
        <v>7.3899999999999993E-2</v>
      </c>
    </row>
    <row r="521" spans="1:10" x14ac:dyDescent="0.25">
      <c r="B521" t="s">
        <v>352</v>
      </c>
    </row>
    <row r="522" spans="1:10" x14ac:dyDescent="0.25">
      <c r="B522" t="s">
        <v>95</v>
      </c>
      <c r="C522">
        <v>0.63090000000000002</v>
      </c>
    </row>
    <row r="523" spans="1:10" x14ac:dyDescent="0.25">
      <c r="B523" t="s">
        <v>350</v>
      </c>
    </row>
    <row r="524" spans="1:10" x14ac:dyDescent="0.25">
      <c r="B524" t="s">
        <v>351</v>
      </c>
    </row>
    <row r="525" spans="1:10" x14ac:dyDescent="0.25">
      <c r="B525" t="s">
        <v>954</v>
      </c>
    </row>
    <row r="526" spans="1:10" x14ac:dyDescent="0.25">
      <c r="A526" s="93"/>
      <c r="B526" s="93" t="s">
        <v>456</v>
      </c>
      <c r="C526" s="93"/>
      <c r="D526" s="93"/>
    </row>
    <row r="527" spans="1:10" x14ac:dyDescent="0.25">
      <c r="A527" t="s">
        <v>1027</v>
      </c>
      <c r="B527" t="s">
        <v>102</v>
      </c>
      <c r="C527">
        <v>0.1105</v>
      </c>
    </row>
    <row r="528" spans="1:10" x14ac:dyDescent="0.25">
      <c r="B528" t="s">
        <v>352</v>
      </c>
      <c r="C528">
        <v>0.31319999999999998</v>
      </c>
    </row>
    <row r="529" spans="1:4" x14ac:dyDescent="0.25">
      <c r="B529" t="s">
        <v>95</v>
      </c>
      <c r="C529">
        <v>0.31430000000000002</v>
      </c>
    </row>
    <row r="530" spans="1:4" x14ac:dyDescent="0.25">
      <c r="B530" t="s">
        <v>350</v>
      </c>
      <c r="C530">
        <v>0.29299999999999998</v>
      </c>
    </row>
    <row r="531" spans="1:4" x14ac:dyDescent="0.25">
      <c r="B531" t="s">
        <v>351</v>
      </c>
    </row>
    <row r="532" spans="1:4" x14ac:dyDescent="0.25">
      <c r="B532" t="s">
        <v>954</v>
      </c>
    </row>
    <row r="533" spans="1:4" x14ac:dyDescent="0.25">
      <c r="A533" s="93"/>
      <c r="B533" s="93" t="s">
        <v>456</v>
      </c>
      <c r="C533" s="93"/>
      <c r="D533" s="93"/>
    </row>
    <row r="534" spans="1:4" x14ac:dyDescent="0.25">
      <c r="A534" t="s">
        <v>920</v>
      </c>
      <c r="B534" t="s">
        <v>102</v>
      </c>
      <c r="C534">
        <v>7.5300000000000006E-2</v>
      </c>
    </row>
    <row r="535" spans="1:4" x14ac:dyDescent="0.25">
      <c r="B535" t="s">
        <v>352</v>
      </c>
    </row>
    <row r="536" spans="1:4" x14ac:dyDescent="0.25">
      <c r="B536" t="s">
        <v>95</v>
      </c>
    </row>
    <row r="537" spans="1:4" x14ac:dyDescent="0.25">
      <c r="B537" t="s">
        <v>350</v>
      </c>
      <c r="C537">
        <v>1.1984999999999999</v>
      </c>
    </row>
    <row r="538" spans="1:4" x14ac:dyDescent="0.25">
      <c r="B538" t="s">
        <v>351</v>
      </c>
    </row>
    <row r="539" spans="1:4" x14ac:dyDescent="0.25">
      <c r="B539" t="s">
        <v>954</v>
      </c>
    </row>
    <row r="540" spans="1:4" x14ac:dyDescent="0.25">
      <c r="A540" s="93"/>
      <c r="B540" s="93" t="s">
        <v>456</v>
      </c>
      <c r="C540" s="93"/>
      <c r="D540" s="93"/>
    </row>
    <row r="541" spans="1:4" x14ac:dyDescent="0.25">
      <c r="A541" t="s">
        <v>1028</v>
      </c>
      <c r="B541" t="s">
        <v>102</v>
      </c>
      <c r="C541">
        <v>0.13300000000000001</v>
      </c>
    </row>
    <row r="542" spans="1:4" x14ac:dyDescent="0.25">
      <c r="B542" t="s">
        <v>352</v>
      </c>
      <c r="C542">
        <v>0.90539999999999998</v>
      </c>
    </row>
    <row r="543" spans="1:4" x14ac:dyDescent="0.25">
      <c r="B543" t="s">
        <v>95</v>
      </c>
      <c r="C543">
        <v>0.17030000000000001</v>
      </c>
    </row>
    <row r="544" spans="1:4" x14ac:dyDescent="0.25">
      <c r="B544" t="s">
        <v>350</v>
      </c>
    </row>
    <row r="545" spans="1:4" x14ac:dyDescent="0.25">
      <c r="B545" t="s">
        <v>351</v>
      </c>
    </row>
    <row r="546" spans="1:4" x14ac:dyDescent="0.25">
      <c r="B546" t="s">
        <v>954</v>
      </c>
    </row>
    <row r="547" spans="1:4" x14ac:dyDescent="0.25">
      <c r="A547" s="93"/>
      <c r="B547" s="93" t="s">
        <v>456</v>
      </c>
      <c r="C547" s="93"/>
      <c r="D547" s="93"/>
    </row>
    <row r="548" spans="1:4" x14ac:dyDescent="0.25">
      <c r="A548" t="s">
        <v>921</v>
      </c>
      <c r="B548" t="s">
        <v>102</v>
      </c>
      <c r="C548">
        <v>9.4700000000000006E-2</v>
      </c>
    </row>
    <row r="549" spans="1:4" x14ac:dyDescent="0.25">
      <c r="B549" t="s">
        <v>352</v>
      </c>
    </row>
    <row r="550" spans="1:4" x14ac:dyDescent="0.25">
      <c r="B550" t="s">
        <v>95</v>
      </c>
    </row>
    <row r="551" spans="1:4" x14ac:dyDescent="0.25">
      <c r="B551" t="s">
        <v>350</v>
      </c>
    </row>
    <row r="552" spans="1:4" x14ac:dyDescent="0.25">
      <c r="B552" t="s">
        <v>351</v>
      </c>
      <c r="C552">
        <v>0.76590000000000003</v>
      </c>
    </row>
    <row r="553" spans="1:4" x14ac:dyDescent="0.25">
      <c r="B553" t="s">
        <v>954</v>
      </c>
      <c r="C553">
        <v>0.42549999999999999</v>
      </c>
    </row>
    <row r="554" spans="1:4" x14ac:dyDescent="0.25">
      <c r="A554" s="93"/>
      <c r="B554" s="93" t="s">
        <v>456</v>
      </c>
      <c r="C554" s="93"/>
      <c r="D554" s="93"/>
    </row>
    <row r="555" spans="1:4" x14ac:dyDescent="0.25">
      <c r="A555" t="s">
        <v>1029</v>
      </c>
      <c r="B555" t="s">
        <v>102</v>
      </c>
    </row>
    <row r="556" spans="1:4" x14ac:dyDescent="0.25">
      <c r="B556" t="s">
        <v>352</v>
      </c>
    </row>
    <row r="557" spans="1:4" x14ac:dyDescent="0.25">
      <c r="B557" t="s">
        <v>95</v>
      </c>
    </row>
    <row r="558" spans="1:4" x14ac:dyDescent="0.25">
      <c r="B558" t="s">
        <v>350</v>
      </c>
    </row>
    <row r="559" spans="1:4" x14ac:dyDescent="0.25">
      <c r="B559" t="s">
        <v>351</v>
      </c>
    </row>
    <row r="560" spans="1:4" x14ac:dyDescent="0.25">
      <c r="B560" t="s">
        <v>954</v>
      </c>
    </row>
    <row r="561" spans="1:4" x14ac:dyDescent="0.25">
      <c r="A561" s="93"/>
      <c r="B561" s="93" t="s">
        <v>456</v>
      </c>
      <c r="C561" s="93">
        <v>5.3288000000000002</v>
      </c>
      <c r="D561" s="93"/>
    </row>
    <row r="562" spans="1:4" x14ac:dyDescent="0.25">
      <c r="A562" s="6" t="s">
        <v>1030</v>
      </c>
      <c r="B562" s="6" t="s">
        <v>102</v>
      </c>
      <c r="C562" s="6">
        <v>0.1628</v>
      </c>
      <c r="D562" s="6"/>
    </row>
    <row r="563" spans="1:4" x14ac:dyDescent="0.25">
      <c r="A563" s="6"/>
      <c r="B563" s="6" t="s">
        <v>352</v>
      </c>
      <c r="C563" s="6">
        <v>0.45350000000000001</v>
      </c>
      <c r="D563" s="6"/>
    </row>
    <row r="564" spans="1:4" x14ac:dyDescent="0.25">
      <c r="A564" s="6"/>
      <c r="B564" s="6" t="s">
        <v>95</v>
      </c>
      <c r="C564" s="6">
        <v>0.45350000000000001</v>
      </c>
      <c r="D564" s="6"/>
    </row>
    <row r="565" spans="1:4" x14ac:dyDescent="0.25">
      <c r="A565" s="6"/>
      <c r="B565" s="6" t="s">
        <v>350</v>
      </c>
      <c r="C565" s="6">
        <v>0.41860000000000003</v>
      </c>
      <c r="D565" s="6"/>
    </row>
    <row r="566" spans="1:4" x14ac:dyDescent="0.25">
      <c r="A566" s="6"/>
      <c r="B566" s="6" t="s">
        <v>351</v>
      </c>
      <c r="C566" s="6"/>
      <c r="D566" s="6"/>
    </row>
    <row r="567" spans="1:4" x14ac:dyDescent="0.25">
      <c r="A567" s="6"/>
      <c r="B567" s="6" t="s">
        <v>954</v>
      </c>
      <c r="C567" s="6"/>
      <c r="D567" s="6"/>
    </row>
    <row r="568" spans="1:4" x14ac:dyDescent="0.25">
      <c r="A568" s="129"/>
      <c r="B568" s="129" t="s">
        <v>456</v>
      </c>
      <c r="C568" s="129"/>
      <c r="D568" s="129"/>
    </row>
    <row r="569" spans="1:4" x14ac:dyDescent="0.25">
      <c r="A569" s="6" t="s">
        <v>1031</v>
      </c>
      <c r="B569" s="6" t="s">
        <v>102</v>
      </c>
      <c r="C569" s="6">
        <v>0.13539999999999999</v>
      </c>
      <c r="D569" s="6"/>
    </row>
    <row r="570" spans="1:4" x14ac:dyDescent="0.25">
      <c r="A570" s="6"/>
      <c r="B570" s="6" t="s">
        <v>352</v>
      </c>
      <c r="C570" s="6">
        <v>0.89580000000000004</v>
      </c>
      <c r="D570" s="6"/>
    </row>
    <row r="571" spans="1:4" x14ac:dyDescent="0.25">
      <c r="A571" s="6"/>
      <c r="B571" s="6" t="s">
        <v>95</v>
      </c>
      <c r="C571" s="6">
        <v>0.16669999999999999</v>
      </c>
      <c r="D571" s="6"/>
    </row>
    <row r="572" spans="1:4" x14ac:dyDescent="0.25">
      <c r="A572" s="6"/>
      <c r="B572" s="6" t="s">
        <v>348</v>
      </c>
      <c r="C572" s="6">
        <v>2.5999999999999999E-2</v>
      </c>
      <c r="D572" s="6"/>
    </row>
    <row r="573" spans="1:4" x14ac:dyDescent="0.25">
      <c r="A573" s="6"/>
      <c r="B573" s="6" t="s">
        <v>350</v>
      </c>
      <c r="C573" s="6"/>
      <c r="D573" s="6"/>
    </row>
    <row r="574" spans="1:4" x14ac:dyDescent="0.25">
      <c r="A574" s="6"/>
      <c r="B574" s="6" t="s">
        <v>351</v>
      </c>
      <c r="C574" s="6"/>
      <c r="D574" s="6"/>
    </row>
    <row r="575" spans="1:4" x14ac:dyDescent="0.25">
      <c r="A575" s="6"/>
      <c r="B575" s="6" t="s">
        <v>954</v>
      </c>
      <c r="C575" s="6"/>
      <c r="D575" s="6"/>
    </row>
    <row r="576" spans="1:4" x14ac:dyDescent="0.25">
      <c r="A576" s="129"/>
      <c r="B576" s="129" t="s">
        <v>456</v>
      </c>
      <c r="C576" s="129"/>
      <c r="D576" s="129"/>
    </row>
    <row r="577" spans="1:12" x14ac:dyDescent="0.25">
      <c r="A577" s="6" t="s">
        <v>1032</v>
      </c>
      <c r="B577" s="6" t="s">
        <v>102</v>
      </c>
      <c r="C577" s="6">
        <v>0.107</v>
      </c>
      <c r="D577" s="6"/>
    </row>
    <row r="578" spans="1:12" x14ac:dyDescent="0.25">
      <c r="A578" s="6"/>
      <c r="B578" s="6" t="s">
        <v>352</v>
      </c>
      <c r="C578" s="6"/>
      <c r="D578" s="6"/>
    </row>
    <row r="579" spans="1:12" x14ac:dyDescent="0.25">
      <c r="A579" s="6"/>
      <c r="B579" s="6" t="s">
        <v>95</v>
      </c>
      <c r="C579" s="6"/>
      <c r="D579" s="6"/>
    </row>
    <row r="580" spans="1:12" x14ac:dyDescent="0.25">
      <c r="A580" s="6"/>
      <c r="B580" s="6" t="s">
        <v>350</v>
      </c>
      <c r="C580" s="6"/>
      <c r="D580" s="6"/>
    </row>
    <row r="581" spans="1:12" x14ac:dyDescent="0.25">
      <c r="A581" s="6"/>
      <c r="B581" s="6" t="s">
        <v>351</v>
      </c>
      <c r="C581" s="6">
        <v>0.85919999999999996</v>
      </c>
      <c r="D581" s="6"/>
    </row>
    <row r="582" spans="1:12" x14ac:dyDescent="0.25">
      <c r="A582" s="6"/>
      <c r="B582" s="6" t="s">
        <v>954</v>
      </c>
      <c r="C582" s="6">
        <v>0.50700000000000001</v>
      </c>
      <c r="D582" s="6"/>
    </row>
    <row r="583" spans="1:12" x14ac:dyDescent="0.25">
      <c r="A583" s="129"/>
      <c r="B583" s="129" t="s">
        <v>456</v>
      </c>
      <c r="C583" s="129"/>
      <c r="D583" s="129"/>
    </row>
    <row r="588" spans="1:12" x14ac:dyDescent="0.25">
      <c r="A588" s="6" t="s">
        <v>1034</v>
      </c>
      <c r="B588" s="6"/>
      <c r="C588" s="6"/>
      <c r="D588" s="6"/>
      <c r="E588" s="6"/>
      <c r="F588" s="6"/>
      <c r="G588" s="6"/>
      <c r="H588" s="6"/>
      <c r="I588" s="6"/>
      <c r="J588" s="6"/>
      <c r="K588" s="6"/>
      <c r="L588" s="6"/>
    </row>
    <row r="589" spans="1:12" x14ac:dyDescent="0.25">
      <c r="A589" s="6" t="s">
        <v>1033</v>
      </c>
      <c r="B589" s="6"/>
      <c r="C589" s="6"/>
      <c r="D589" s="6"/>
      <c r="E589" s="6"/>
      <c r="F589" s="6"/>
      <c r="G589" s="6"/>
      <c r="H589" s="6"/>
      <c r="I589" s="6"/>
      <c r="J589" s="6"/>
      <c r="K589" s="6"/>
      <c r="L589" s="6"/>
    </row>
    <row r="590" spans="1:12" x14ac:dyDescent="0.25">
      <c r="A590" s="18" t="s">
        <v>1035</v>
      </c>
    </row>
    <row r="592" spans="1:12" x14ac:dyDescent="0.25">
      <c r="A592" t="s">
        <v>1036</v>
      </c>
    </row>
    <row r="595" spans="1:12" x14ac:dyDescent="0.25">
      <c r="A595" s="5" t="s">
        <v>1038</v>
      </c>
      <c r="B595" s="5"/>
      <c r="C595" s="5"/>
      <c r="D595" s="5"/>
      <c r="E595" s="5"/>
      <c r="F595" s="5"/>
      <c r="G595" s="5"/>
      <c r="H595" s="5"/>
      <c r="I595" s="5"/>
      <c r="J595" s="5"/>
      <c r="K595" s="5"/>
      <c r="L595" s="5"/>
    </row>
    <row r="596" spans="1:12" x14ac:dyDescent="0.25">
      <c r="A596" s="5" t="s">
        <v>1037</v>
      </c>
      <c r="B596" s="5"/>
      <c r="C596" s="5"/>
      <c r="D596" s="5"/>
      <c r="E596" s="5"/>
      <c r="F596" s="5"/>
      <c r="G596" s="5"/>
      <c r="H596" s="5"/>
      <c r="I596" s="5"/>
      <c r="J596" s="5"/>
      <c r="K596" s="5"/>
      <c r="L596" s="5"/>
    </row>
    <row r="597" spans="1:12" x14ac:dyDescent="0.25">
      <c r="A597" t="s">
        <v>1039</v>
      </c>
    </row>
    <row r="598" spans="1:12" x14ac:dyDescent="0.25">
      <c r="A598" t="s">
        <v>1041</v>
      </c>
    </row>
    <row r="599" spans="1:12" x14ac:dyDescent="0.25">
      <c r="A599" s="93"/>
      <c r="B599" s="93"/>
      <c r="C599" s="93"/>
    </row>
    <row r="600" spans="1:12" x14ac:dyDescent="0.25">
      <c r="A600" s="93" t="s">
        <v>888</v>
      </c>
      <c r="B600" s="93" t="s">
        <v>889</v>
      </c>
      <c r="C600" s="93" t="s">
        <v>890</v>
      </c>
    </row>
    <row r="601" spans="1:12" x14ac:dyDescent="0.25">
      <c r="A601" t="s">
        <v>921</v>
      </c>
      <c r="B601" t="s">
        <v>102</v>
      </c>
      <c r="C601">
        <v>0.1158</v>
      </c>
    </row>
    <row r="602" spans="1:12" x14ac:dyDescent="0.25">
      <c r="B602" t="s">
        <v>95</v>
      </c>
    </row>
    <row r="603" spans="1:12" x14ac:dyDescent="0.25">
      <c r="A603" s="93"/>
      <c r="B603" s="93" t="s">
        <v>352</v>
      </c>
      <c r="C603" s="93"/>
    </row>
    <row r="604" spans="1:12" x14ac:dyDescent="0.25">
      <c r="A604" t="s">
        <v>920</v>
      </c>
      <c r="B604" t="s">
        <v>102</v>
      </c>
      <c r="C604">
        <v>0.1227</v>
      </c>
    </row>
    <row r="605" spans="1:12" x14ac:dyDescent="0.25">
      <c r="B605" t="s">
        <v>95</v>
      </c>
    </row>
    <row r="606" spans="1:12" x14ac:dyDescent="0.25">
      <c r="A606" s="93"/>
      <c r="B606" s="93" t="s">
        <v>352</v>
      </c>
      <c r="C606" s="93"/>
    </row>
    <row r="607" spans="1:12" x14ac:dyDescent="0.25">
      <c r="A607" t="s">
        <v>1040</v>
      </c>
      <c r="B607" t="s">
        <v>102</v>
      </c>
      <c r="C607">
        <v>0.1701</v>
      </c>
    </row>
    <row r="608" spans="1:12" x14ac:dyDescent="0.25">
      <c r="B608" t="s">
        <v>95</v>
      </c>
      <c r="C608">
        <v>0.44450000000000001</v>
      </c>
    </row>
    <row r="609" spans="1:3" x14ac:dyDescent="0.25">
      <c r="A609" s="93"/>
      <c r="B609" s="93" t="s">
        <v>352</v>
      </c>
      <c r="C609" s="93">
        <v>0.44259999999999999</v>
      </c>
    </row>
    <row r="610" spans="1:3" x14ac:dyDescent="0.25">
      <c r="A610" t="s">
        <v>968</v>
      </c>
      <c r="B610" t="s">
        <v>102</v>
      </c>
      <c r="C610" s="95">
        <v>0.14449999999999999</v>
      </c>
    </row>
    <row r="611" spans="1:3" x14ac:dyDescent="0.25">
      <c r="B611" t="s">
        <v>95</v>
      </c>
      <c r="C611" s="95">
        <v>0.2107</v>
      </c>
    </row>
    <row r="612" spans="1:3" x14ac:dyDescent="0.25">
      <c r="A612" s="93"/>
      <c r="B612" s="93" t="s">
        <v>352</v>
      </c>
      <c r="C612" s="93">
        <v>0.56279999999999997</v>
      </c>
    </row>
    <row r="613" spans="1:3" x14ac:dyDescent="0.25">
      <c r="A613" t="s">
        <v>961</v>
      </c>
      <c r="B613" t="s">
        <v>102</v>
      </c>
      <c r="C613" s="95">
        <v>0.14449999999999999</v>
      </c>
    </row>
    <row r="614" spans="1:3" x14ac:dyDescent="0.25">
      <c r="B614" t="s">
        <v>95</v>
      </c>
      <c r="C614" s="95">
        <v>0.2107</v>
      </c>
    </row>
    <row r="615" spans="1:3" x14ac:dyDescent="0.25">
      <c r="A615" s="93"/>
      <c r="B615" s="93" t="s">
        <v>352</v>
      </c>
      <c r="C615" s="93">
        <v>0.67530000000000001</v>
      </c>
    </row>
    <row r="616" spans="1:3" x14ac:dyDescent="0.25">
      <c r="A616" t="s">
        <v>969</v>
      </c>
      <c r="B616" t="s">
        <v>102</v>
      </c>
      <c r="C616" s="95">
        <v>0.1153</v>
      </c>
    </row>
    <row r="617" spans="1:3" x14ac:dyDescent="0.25">
      <c r="B617" t="s">
        <v>95</v>
      </c>
      <c r="C617" s="95">
        <v>9.4E-2</v>
      </c>
    </row>
    <row r="618" spans="1:3" x14ac:dyDescent="0.25">
      <c r="A618" s="93"/>
      <c r="B618" s="93" t="s">
        <v>352</v>
      </c>
      <c r="C618" s="93">
        <v>0.749</v>
      </c>
    </row>
    <row r="619" spans="1:3" x14ac:dyDescent="0.25">
      <c r="A619" t="s">
        <v>922</v>
      </c>
      <c r="B619" t="s">
        <v>102</v>
      </c>
      <c r="C619" s="95">
        <v>0.1153</v>
      </c>
    </row>
    <row r="620" spans="1:3" x14ac:dyDescent="0.25">
      <c r="B620" t="s">
        <v>95</v>
      </c>
      <c r="C620" s="95">
        <v>0.14099999999999999</v>
      </c>
    </row>
    <row r="621" spans="1:3" x14ac:dyDescent="0.25">
      <c r="A621" s="93"/>
      <c r="B621" s="93" t="s">
        <v>352</v>
      </c>
      <c r="C621" s="93">
        <v>0.749</v>
      </c>
    </row>
    <row r="625" spans="1:14" x14ac:dyDescent="0.25">
      <c r="A625" s="5" t="s">
        <v>1043</v>
      </c>
      <c r="B625" s="5"/>
      <c r="C625" s="5"/>
      <c r="D625" s="5"/>
      <c r="E625" s="5"/>
      <c r="F625" s="5"/>
      <c r="G625" s="5"/>
      <c r="H625" s="5"/>
      <c r="I625" s="5"/>
      <c r="J625" s="5"/>
      <c r="K625" s="5"/>
      <c r="L625" s="5"/>
    </row>
    <row r="626" spans="1:14" x14ac:dyDescent="0.25">
      <c r="A626" s="5" t="s">
        <v>1042</v>
      </c>
      <c r="B626" s="5"/>
      <c r="C626" s="5"/>
      <c r="D626" s="5"/>
      <c r="E626" s="5"/>
      <c r="F626" s="5"/>
      <c r="G626" s="5"/>
      <c r="H626" s="5"/>
      <c r="I626" s="5"/>
      <c r="J626" s="5"/>
      <c r="K626" s="5"/>
      <c r="L626" s="5"/>
    </row>
    <row r="627" spans="1:14" x14ac:dyDescent="0.25">
      <c r="A627" s="18" t="s">
        <v>1044</v>
      </c>
    </row>
    <row r="629" spans="1:14" x14ac:dyDescent="0.25">
      <c r="A629" t="s">
        <v>888</v>
      </c>
      <c r="B629" t="s">
        <v>889</v>
      </c>
      <c r="C629" t="s">
        <v>905</v>
      </c>
    </row>
    <row r="630" spans="1:14" x14ac:dyDescent="0.25">
      <c r="A630" t="s">
        <v>927</v>
      </c>
      <c r="B630" t="s">
        <v>246</v>
      </c>
      <c r="C630">
        <v>0.49</v>
      </c>
    </row>
    <row r="631" spans="1:14" x14ac:dyDescent="0.25">
      <c r="A631" t="s">
        <v>922</v>
      </c>
      <c r="B631" t="s">
        <v>246</v>
      </c>
      <c r="C631">
        <v>0.22</v>
      </c>
    </row>
    <row r="637" spans="1:14" x14ac:dyDescent="0.25">
      <c r="A637" s="6" t="s">
        <v>528</v>
      </c>
      <c r="B637" s="6"/>
      <c r="C637" s="6"/>
      <c r="D637" s="6"/>
      <c r="E637" s="6"/>
      <c r="F637" s="6"/>
      <c r="G637" s="6"/>
      <c r="H637" s="6"/>
      <c r="I637" s="6"/>
      <c r="J637" s="6"/>
      <c r="K637" s="6"/>
      <c r="L637" s="6"/>
      <c r="M637" s="6"/>
      <c r="N637" s="6"/>
    </row>
    <row r="638" spans="1:14" x14ac:dyDescent="0.25">
      <c r="A638" s="30" t="s">
        <v>529</v>
      </c>
      <c r="B638" s="6"/>
      <c r="C638" s="6"/>
      <c r="D638" s="6"/>
      <c r="E638" s="6"/>
      <c r="F638" s="6"/>
      <c r="G638" s="6"/>
      <c r="H638" s="6"/>
      <c r="I638" s="6"/>
      <c r="J638" s="6"/>
      <c r="K638" s="6"/>
      <c r="L638" s="6"/>
      <c r="M638" s="6"/>
      <c r="N638" s="6"/>
    </row>
    <row r="639" spans="1:14" x14ac:dyDescent="0.25">
      <c r="A639" s="18" t="s">
        <v>530</v>
      </c>
    </row>
    <row r="642" spans="1:14" x14ac:dyDescent="0.25">
      <c r="A642" t="s">
        <v>1045</v>
      </c>
    </row>
    <row r="645" spans="1:14" x14ac:dyDescent="0.25">
      <c r="A645" s="5" t="s">
        <v>1047</v>
      </c>
      <c r="B645" s="5"/>
      <c r="C645" s="5"/>
      <c r="D645" s="5"/>
      <c r="E645" s="5"/>
      <c r="F645" s="5"/>
      <c r="G645" s="5"/>
      <c r="H645" s="5"/>
      <c r="I645" s="5"/>
      <c r="J645" s="5"/>
      <c r="K645" s="5"/>
      <c r="L645" s="5"/>
      <c r="M645" s="5"/>
      <c r="N645" s="5"/>
    </row>
    <row r="646" spans="1:14" x14ac:dyDescent="0.25">
      <c r="A646" s="5" t="s">
        <v>1046</v>
      </c>
      <c r="B646" s="5"/>
      <c r="C646" s="5"/>
      <c r="D646" s="5"/>
      <c r="E646" s="5"/>
      <c r="F646" s="5"/>
      <c r="G646" s="5"/>
      <c r="H646" s="5"/>
      <c r="I646" s="5"/>
      <c r="J646" s="5"/>
      <c r="K646" s="5"/>
      <c r="L646" s="5"/>
      <c r="M646" s="5"/>
      <c r="N646" s="5"/>
    </row>
    <row r="647" spans="1:14" x14ac:dyDescent="0.25">
      <c r="A647" s="18" t="s">
        <v>1048</v>
      </c>
    </row>
    <row r="648" spans="1:14" x14ac:dyDescent="0.25">
      <c r="A648" t="s">
        <v>1050</v>
      </c>
    </row>
    <row r="649" spans="1:14" x14ac:dyDescent="0.25">
      <c r="A649" s="93"/>
      <c r="B649" s="93"/>
      <c r="C649" s="93"/>
      <c r="D649" s="93"/>
    </row>
    <row r="650" spans="1:14" x14ac:dyDescent="0.25">
      <c r="A650" s="93" t="s">
        <v>888</v>
      </c>
      <c r="B650" s="93" t="s">
        <v>889</v>
      </c>
      <c r="C650" s="67" t="s">
        <v>890</v>
      </c>
      <c r="D650" s="130" t="s">
        <v>892</v>
      </c>
      <c r="G650" s="93" t="s">
        <v>888</v>
      </c>
      <c r="H650" s="93" t="s">
        <v>889</v>
      </c>
      <c r="I650" s="93" t="s">
        <v>1051</v>
      </c>
      <c r="J650" s="95" t="s">
        <v>1052</v>
      </c>
    </row>
    <row r="651" spans="1:14" x14ac:dyDescent="0.25">
      <c r="A651" t="s">
        <v>1029</v>
      </c>
      <c r="B651" t="s">
        <v>102</v>
      </c>
      <c r="C651" s="33">
        <f t="shared" ref="C651:C658" si="45">I651*J$651/20</f>
        <v>0.66793893129770998</v>
      </c>
      <c r="D651" s="24">
        <f t="shared" ref="D651:D658" si="46">J$651*I651/J$651</f>
        <v>3.5000000000000003E-2</v>
      </c>
      <c r="G651" t="s">
        <v>1029</v>
      </c>
      <c r="H651" t="s">
        <v>102</v>
      </c>
      <c r="I651" s="105">
        <v>3.5000000000000003E-2</v>
      </c>
      <c r="J651">
        <f>20000/52.4</f>
        <v>381.67938931297709</v>
      </c>
    </row>
    <row r="652" spans="1:14" x14ac:dyDescent="0.25">
      <c r="B652" t="s">
        <v>348</v>
      </c>
      <c r="C652" s="33">
        <f t="shared" si="45"/>
        <v>3.4351145038167936</v>
      </c>
      <c r="D652" s="24">
        <f t="shared" si="46"/>
        <v>0.18</v>
      </c>
      <c r="H652" t="s">
        <v>348</v>
      </c>
      <c r="I652" s="19">
        <v>0.18</v>
      </c>
    </row>
    <row r="653" spans="1:14" x14ac:dyDescent="0.25">
      <c r="B653" t="s">
        <v>353</v>
      </c>
      <c r="C653" s="33">
        <f t="shared" si="45"/>
        <v>0.38167938931297712</v>
      </c>
      <c r="D653" s="24">
        <f t="shared" si="46"/>
        <v>0.02</v>
      </c>
      <c r="H653" t="s">
        <v>353</v>
      </c>
      <c r="I653" s="19">
        <v>0.02</v>
      </c>
    </row>
    <row r="654" spans="1:14" x14ac:dyDescent="0.25">
      <c r="B654" t="s">
        <v>352</v>
      </c>
      <c r="C654" s="33">
        <f t="shared" si="45"/>
        <v>7.6335877862595422E-2</v>
      </c>
      <c r="D654" s="24">
        <f t="shared" si="46"/>
        <v>4.0000000000000001E-3</v>
      </c>
      <c r="H654" t="s">
        <v>352</v>
      </c>
      <c r="I654" s="19">
        <v>4.0000000000000001E-3</v>
      </c>
    </row>
    <row r="655" spans="1:14" x14ac:dyDescent="0.25">
      <c r="B655" t="s">
        <v>95</v>
      </c>
      <c r="C655" s="33">
        <f t="shared" si="45"/>
        <v>0</v>
      </c>
      <c r="D655" s="24">
        <f t="shared" si="46"/>
        <v>0</v>
      </c>
      <c r="H655" t="s">
        <v>95</v>
      </c>
      <c r="I655" s="19">
        <v>0</v>
      </c>
    </row>
    <row r="656" spans="1:14" x14ac:dyDescent="0.25">
      <c r="B656" t="s">
        <v>350</v>
      </c>
      <c r="C656" s="33">
        <f t="shared" si="45"/>
        <v>0</v>
      </c>
      <c r="D656" s="24">
        <f t="shared" si="46"/>
        <v>0</v>
      </c>
      <c r="H656" t="s">
        <v>350</v>
      </c>
      <c r="I656" s="19">
        <v>0</v>
      </c>
    </row>
    <row r="657" spans="1:10" x14ac:dyDescent="0.25">
      <c r="B657" t="s">
        <v>351</v>
      </c>
      <c r="C657" s="33">
        <f t="shared" si="45"/>
        <v>2.6526717557251911</v>
      </c>
      <c r="D657" s="24">
        <f t="shared" si="46"/>
        <v>0.13900000000000001</v>
      </c>
      <c r="H657" t="s">
        <v>351</v>
      </c>
      <c r="I657" s="19">
        <v>0.13900000000000001</v>
      </c>
    </row>
    <row r="658" spans="1:10" x14ac:dyDescent="0.25">
      <c r="A658" s="93"/>
      <c r="B658" s="93" t="s">
        <v>954</v>
      </c>
      <c r="C658" s="107">
        <f t="shared" si="45"/>
        <v>1.3167938931297711</v>
      </c>
      <c r="D658" s="130">
        <f t="shared" si="46"/>
        <v>6.9000000000000006E-2</v>
      </c>
      <c r="E658" s="15" t="s">
        <v>1342</v>
      </c>
      <c r="G658" s="93"/>
      <c r="H658" s="93" t="s">
        <v>954</v>
      </c>
      <c r="I658" s="106">
        <v>6.9000000000000006E-2</v>
      </c>
    </row>
    <row r="659" spans="1:10" x14ac:dyDescent="0.25">
      <c r="A659" t="s">
        <v>921</v>
      </c>
      <c r="B659" t="s">
        <v>102</v>
      </c>
      <c r="C659" s="131">
        <f t="shared" ref="C659:C666" si="47">I659*J$659/20</f>
        <v>0.33759124087591241</v>
      </c>
      <c r="D659" s="24">
        <f t="shared" ref="D659:D666" si="48">J$659*I659/J$659</f>
        <v>3.6999999999999998E-2</v>
      </c>
      <c r="E659" s="33">
        <f>AVERAGE(C659,C667)</f>
        <v>0.25893985120718699</v>
      </c>
      <c r="G659" t="s">
        <v>921</v>
      </c>
      <c r="H659" t="s">
        <v>102</v>
      </c>
      <c r="I659" s="19">
        <v>3.6999999999999998E-2</v>
      </c>
      <c r="J659">
        <f>20000/109.6</f>
        <v>182.48175182481754</v>
      </c>
    </row>
    <row r="660" spans="1:10" x14ac:dyDescent="0.25">
      <c r="B660" t="s">
        <v>348</v>
      </c>
      <c r="C660" s="131">
        <f t="shared" si="47"/>
        <v>1.1678832116788322</v>
      </c>
      <c r="D660" s="24">
        <f t="shared" si="48"/>
        <v>0.128</v>
      </c>
      <c r="E660" s="33">
        <f t="shared" ref="E660:E666" si="49">AVERAGE(C660,C668)</f>
        <v>1.1728839135317237</v>
      </c>
      <c r="H660" t="s">
        <v>348</v>
      </c>
      <c r="I660" s="19">
        <v>0.128</v>
      </c>
    </row>
    <row r="661" spans="1:10" x14ac:dyDescent="0.25">
      <c r="B661" t="s">
        <v>353</v>
      </c>
      <c r="C661" s="131">
        <f t="shared" si="47"/>
        <v>1.1040145985401462</v>
      </c>
      <c r="D661" s="24">
        <f t="shared" si="48"/>
        <v>0.121</v>
      </c>
      <c r="E661" s="33">
        <f t="shared" si="49"/>
        <v>0.87652653003930381</v>
      </c>
      <c r="H661" t="s">
        <v>353</v>
      </c>
      <c r="I661" s="19">
        <v>0.121</v>
      </c>
    </row>
    <row r="662" spans="1:10" x14ac:dyDescent="0.25">
      <c r="B662" t="s">
        <v>352</v>
      </c>
      <c r="C662" s="131">
        <f t="shared" si="47"/>
        <v>9.1240875912408769E-3</v>
      </c>
      <c r="D662" s="24">
        <f t="shared" si="48"/>
        <v>1E-3</v>
      </c>
      <c r="E662" s="33">
        <f t="shared" si="49"/>
        <v>1.0571659180235823E-2</v>
      </c>
      <c r="H662" t="s">
        <v>352</v>
      </c>
      <c r="I662" s="19">
        <v>1E-3</v>
      </c>
    </row>
    <row r="663" spans="1:10" x14ac:dyDescent="0.25">
      <c r="B663" t="s">
        <v>95</v>
      </c>
      <c r="C663" s="131">
        <f t="shared" si="47"/>
        <v>0</v>
      </c>
      <c r="D663" s="24">
        <f t="shared" si="48"/>
        <v>0</v>
      </c>
      <c r="E663" s="33">
        <f t="shared" si="49"/>
        <v>0</v>
      </c>
      <c r="H663" t="s">
        <v>95</v>
      </c>
      <c r="I663" s="19">
        <v>0</v>
      </c>
    </row>
    <row r="664" spans="1:10" x14ac:dyDescent="0.25">
      <c r="B664" t="s">
        <v>350</v>
      </c>
      <c r="C664" s="131">
        <f t="shared" si="47"/>
        <v>0</v>
      </c>
      <c r="D664" s="24">
        <f t="shared" si="48"/>
        <v>0</v>
      </c>
      <c r="E664" s="33">
        <f t="shared" si="49"/>
        <v>0</v>
      </c>
      <c r="H664" t="s">
        <v>350</v>
      </c>
      <c r="I664" s="19">
        <v>0</v>
      </c>
    </row>
    <row r="665" spans="1:10" x14ac:dyDescent="0.25">
      <c r="B665" t="s">
        <v>351</v>
      </c>
      <c r="C665" s="131">
        <f t="shared" si="47"/>
        <v>1.7700729927007302</v>
      </c>
      <c r="D665" s="24">
        <f t="shared" si="48"/>
        <v>0.19400000000000001</v>
      </c>
      <c r="E665" s="33">
        <f t="shared" si="49"/>
        <v>2.068930727119596</v>
      </c>
      <c r="H665" t="s">
        <v>351</v>
      </c>
      <c r="I665" s="19">
        <v>0.19400000000000001</v>
      </c>
    </row>
    <row r="666" spans="1:10" x14ac:dyDescent="0.25">
      <c r="A666" s="93"/>
      <c r="B666" s="93" t="s">
        <v>954</v>
      </c>
      <c r="C666" s="132">
        <f t="shared" si="47"/>
        <v>0.85766423357664245</v>
      </c>
      <c r="D666" s="130">
        <f t="shared" si="48"/>
        <v>9.4E-2</v>
      </c>
      <c r="E666" s="33">
        <f t="shared" si="49"/>
        <v>0.81945711678832123</v>
      </c>
      <c r="G666" s="93"/>
      <c r="H666" s="93" t="s">
        <v>954</v>
      </c>
      <c r="I666" s="106">
        <v>9.4E-2</v>
      </c>
    </row>
    <row r="667" spans="1:10" x14ac:dyDescent="0.25">
      <c r="A667" t="s">
        <v>921</v>
      </c>
      <c r="B667" t="s">
        <v>102</v>
      </c>
      <c r="C667" s="131">
        <f t="shared" ref="C667:C674" si="50">I667*J$667/20</f>
        <v>0.18028846153846154</v>
      </c>
      <c r="D667" s="24">
        <f t="shared" ref="D667:D674" si="51">J$667*I667/J$667</f>
        <v>1.4999999999999999E-2</v>
      </c>
      <c r="G667" t="s">
        <v>921</v>
      </c>
      <c r="H667" t="s">
        <v>102</v>
      </c>
      <c r="I667" s="19">
        <v>1.4999999999999999E-2</v>
      </c>
      <c r="J667">
        <f>20000/83.2</f>
        <v>240.38461538461539</v>
      </c>
    </row>
    <row r="668" spans="1:10" x14ac:dyDescent="0.25">
      <c r="B668" t="s">
        <v>348</v>
      </c>
      <c r="C668" s="131">
        <f t="shared" si="50"/>
        <v>1.1778846153846154</v>
      </c>
      <c r="D668" s="24">
        <f t="shared" si="51"/>
        <v>9.8000000000000004E-2</v>
      </c>
      <c r="H668" t="s">
        <v>348</v>
      </c>
      <c r="I668" s="19">
        <v>9.8000000000000004E-2</v>
      </c>
    </row>
    <row r="669" spans="1:10" x14ac:dyDescent="0.25">
      <c r="B669" t="s">
        <v>353</v>
      </c>
      <c r="C669" s="131">
        <f t="shared" si="50"/>
        <v>0.64903846153846145</v>
      </c>
      <c r="D669" s="24">
        <f t="shared" si="51"/>
        <v>5.3999999999999999E-2</v>
      </c>
      <c r="H669" t="s">
        <v>353</v>
      </c>
      <c r="I669" s="19">
        <v>5.3999999999999999E-2</v>
      </c>
    </row>
    <row r="670" spans="1:10" x14ac:dyDescent="0.25">
      <c r="B670" t="s">
        <v>352</v>
      </c>
      <c r="C670" s="131">
        <f t="shared" si="50"/>
        <v>1.201923076923077E-2</v>
      </c>
      <c r="D670" s="24">
        <f t="shared" si="51"/>
        <v>1E-3</v>
      </c>
      <c r="H670" t="s">
        <v>352</v>
      </c>
      <c r="I670" s="19">
        <v>1E-3</v>
      </c>
    </row>
    <row r="671" spans="1:10" x14ac:dyDescent="0.25">
      <c r="B671" t="s">
        <v>95</v>
      </c>
      <c r="C671" s="131">
        <f t="shared" si="50"/>
        <v>0</v>
      </c>
      <c r="D671" s="24">
        <f t="shared" si="51"/>
        <v>0</v>
      </c>
      <c r="H671" t="s">
        <v>95</v>
      </c>
      <c r="I671" s="19">
        <v>0</v>
      </c>
    </row>
    <row r="672" spans="1:10" x14ac:dyDescent="0.25">
      <c r="B672" t="s">
        <v>350</v>
      </c>
      <c r="C672" s="131">
        <f t="shared" si="50"/>
        <v>0</v>
      </c>
      <c r="D672" s="24">
        <f t="shared" si="51"/>
        <v>0</v>
      </c>
      <c r="H672" t="s">
        <v>350</v>
      </c>
      <c r="I672" s="19">
        <v>0</v>
      </c>
    </row>
    <row r="673" spans="1:10" x14ac:dyDescent="0.25">
      <c r="B673" t="s">
        <v>351</v>
      </c>
      <c r="C673" s="131">
        <f t="shared" si="50"/>
        <v>2.3677884615384617</v>
      </c>
      <c r="D673" s="24">
        <f t="shared" si="51"/>
        <v>0.19700000000000001</v>
      </c>
      <c r="H673" t="s">
        <v>351</v>
      </c>
      <c r="I673" s="19">
        <v>0.19700000000000001</v>
      </c>
    </row>
    <row r="674" spans="1:10" x14ac:dyDescent="0.25">
      <c r="A674" s="93"/>
      <c r="B674" s="93" t="s">
        <v>954</v>
      </c>
      <c r="C674" s="132">
        <f t="shared" si="50"/>
        <v>0.78125</v>
      </c>
      <c r="D674" s="130">
        <f t="shared" si="51"/>
        <v>6.5000000000000002E-2</v>
      </c>
      <c r="G674" s="93"/>
      <c r="H674" s="93" t="s">
        <v>954</v>
      </c>
      <c r="I674" s="106">
        <v>6.5000000000000002E-2</v>
      </c>
    </row>
    <row r="675" spans="1:10" x14ac:dyDescent="0.25">
      <c r="A675" t="s">
        <v>920</v>
      </c>
      <c r="B675" t="s">
        <v>102</v>
      </c>
      <c r="C675" s="33">
        <f t="shared" ref="C675:C682" si="52">I675*J$675/20</f>
        <v>0.11314186248912098</v>
      </c>
      <c r="D675" s="24">
        <f t="shared" ref="D675:D682" si="53">J$675*I675/J$675</f>
        <v>1.2999999999999999E-2</v>
      </c>
      <c r="G675" t="s">
        <v>920</v>
      </c>
      <c r="H675" t="s">
        <v>102</v>
      </c>
      <c r="I675" s="19">
        <v>1.2999999999999999E-2</v>
      </c>
      <c r="J675">
        <f>20000/114.9</f>
        <v>174.06440382941688</v>
      </c>
    </row>
    <row r="676" spans="1:10" x14ac:dyDescent="0.25">
      <c r="B676" t="s">
        <v>348</v>
      </c>
      <c r="C676" s="33">
        <f t="shared" si="52"/>
        <v>1.679721496953873</v>
      </c>
      <c r="D676" s="24">
        <f t="shared" si="53"/>
        <v>0.193</v>
      </c>
      <c r="H676" t="s">
        <v>348</v>
      </c>
      <c r="I676" s="19">
        <v>0.193</v>
      </c>
    </row>
    <row r="677" spans="1:10" x14ac:dyDescent="0.25">
      <c r="B677" t="s">
        <v>353</v>
      </c>
      <c r="C677" s="33">
        <f t="shared" si="52"/>
        <v>1.5491731940818101</v>
      </c>
      <c r="D677" s="24">
        <f t="shared" si="53"/>
        <v>0.17799999999999999</v>
      </c>
      <c r="H677" t="s">
        <v>353</v>
      </c>
      <c r="I677" s="19">
        <v>0.17799999999999999</v>
      </c>
    </row>
    <row r="678" spans="1:10" x14ac:dyDescent="0.25">
      <c r="B678" t="s">
        <v>352</v>
      </c>
      <c r="C678" s="33">
        <f t="shared" si="52"/>
        <v>8.7032201914708437E-3</v>
      </c>
      <c r="D678" s="24">
        <f t="shared" si="53"/>
        <v>1E-3</v>
      </c>
      <c r="H678" t="s">
        <v>352</v>
      </c>
      <c r="I678" s="19">
        <v>1E-3</v>
      </c>
    </row>
    <row r="679" spans="1:10" x14ac:dyDescent="0.25">
      <c r="B679" t="s">
        <v>95</v>
      </c>
      <c r="C679" s="33">
        <f t="shared" si="52"/>
        <v>0</v>
      </c>
      <c r="D679" s="24">
        <f t="shared" si="53"/>
        <v>0</v>
      </c>
      <c r="H679" t="s">
        <v>95</v>
      </c>
      <c r="I679" s="19">
        <v>0</v>
      </c>
    </row>
    <row r="680" spans="1:10" x14ac:dyDescent="0.25">
      <c r="B680" t="s">
        <v>350</v>
      </c>
      <c r="C680" s="33">
        <f t="shared" si="52"/>
        <v>0.82680591818973015</v>
      </c>
      <c r="D680" s="24">
        <f t="shared" si="53"/>
        <v>9.5000000000000001E-2</v>
      </c>
      <c r="H680" t="s">
        <v>350</v>
      </c>
      <c r="I680" s="19">
        <v>9.5000000000000001E-2</v>
      </c>
    </row>
    <row r="681" spans="1:10" x14ac:dyDescent="0.25">
      <c r="B681" t="s">
        <v>351</v>
      </c>
      <c r="C681" s="33">
        <f t="shared" si="52"/>
        <v>0.6962576153176675</v>
      </c>
      <c r="D681" s="24">
        <f t="shared" si="53"/>
        <v>0.08</v>
      </c>
      <c r="H681" t="s">
        <v>351</v>
      </c>
      <c r="I681" s="19">
        <v>0.08</v>
      </c>
    </row>
    <row r="682" spans="1:10" x14ac:dyDescent="0.25">
      <c r="A682" s="93"/>
      <c r="B682" s="93" t="s">
        <v>954</v>
      </c>
      <c r="C682" s="107">
        <f t="shared" si="52"/>
        <v>0</v>
      </c>
      <c r="D682" s="130">
        <f t="shared" si="53"/>
        <v>0</v>
      </c>
      <c r="G682" s="93"/>
      <c r="H682" s="93" t="s">
        <v>954</v>
      </c>
      <c r="I682" s="106">
        <v>0</v>
      </c>
    </row>
    <row r="683" spans="1:10" x14ac:dyDescent="0.25">
      <c r="A683" t="s">
        <v>922</v>
      </c>
      <c r="B683" t="s">
        <v>102</v>
      </c>
      <c r="C683" s="33">
        <f t="shared" ref="C683:C690" si="54">I683*J$683/20</f>
        <v>0.11976047904191615</v>
      </c>
      <c r="D683" s="24">
        <f t="shared" ref="D683:D690" si="55">J$683*I683/J$683</f>
        <v>1.6E-2</v>
      </c>
      <c r="G683" t="s">
        <v>922</v>
      </c>
      <c r="H683" t="s">
        <v>102</v>
      </c>
      <c r="I683" s="19">
        <v>1.6E-2</v>
      </c>
      <c r="J683">
        <f>20000/133.6</f>
        <v>149.70059880239521</v>
      </c>
    </row>
    <row r="684" spans="1:10" x14ac:dyDescent="0.25">
      <c r="B684" t="s">
        <v>348</v>
      </c>
      <c r="C684" s="33">
        <f t="shared" si="54"/>
        <v>1.0404191616766467</v>
      </c>
      <c r="D684" s="24">
        <f t="shared" si="55"/>
        <v>0.13900000000000001</v>
      </c>
      <c r="H684" t="s">
        <v>348</v>
      </c>
      <c r="I684" s="19">
        <v>0.13900000000000001</v>
      </c>
    </row>
    <row r="685" spans="1:10" x14ac:dyDescent="0.25">
      <c r="B685" t="s">
        <v>353</v>
      </c>
      <c r="C685" s="33">
        <f t="shared" si="54"/>
        <v>0.97305389221556882</v>
      </c>
      <c r="D685" s="24">
        <f t="shared" si="55"/>
        <v>0.13</v>
      </c>
      <c r="H685" t="s">
        <v>353</v>
      </c>
      <c r="I685" s="19">
        <v>0.13</v>
      </c>
    </row>
    <row r="686" spans="1:10" x14ac:dyDescent="0.25">
      <c r="B686" t="s">
        <v>352</v>
      </c>
      <c r="C686" s="33">
        <f t="shared" si="54"/>
        <v>0.79341317365269459</v>
      </c>
      <c r="D686" s="24">
        <f t="shared" si="55"/>
        <v>0.106</v>
      </c>
      <c r="H686" t="s">
        <v>352</v>
      </c>
      <c r="I686" s="19">
        <v>0.106</v>
      </c>
    </row>
    <row r="687" spans="1:10" x14ac:dyDescent="0.25">
      <c r="B687" t="s">
        <v>95</v>
      </c>
      <c r="C687" s="33">
        <f t="shared" si="54"/>
        <v>0.14221556886227543</v>
      </c>
      <c r="D687" s="24">
        <f t="shared" si="55"/>
        <v>1.9E-2</v>
      </c>
      <c r="H687" t="s">
        <v>95</v>
      </c>
      <c r="I687" s="19">
        <v>1.9E-2</v>
      </c>
    </row>
    <row r="688" spans="1:10" x14ac:dyDescent="0.25">
      <c r="B688" t="s">
        <v>350</v>
      </c>
      <c r="C688" s="33">
        <f t="shared" si="54"/>
        <v>0</v>
      </c>
      <c r="D688" s="24">
        <f t="shared" si="55"/>
        <v>0</v>
      </c>
      <c r="H688" t="s">
        <v>350</v>
      </c>
      <c r="I688" s="19">
        <v>0</v>
      </c>
    </row>
    <row r="689" spans="1:10" x14ac:dyDescent="0.25">
      <c r="B689" t="s">
        <v>351</v>
      </c>
      <c r="C689" s="33">
        <f t="shared" si="54"/>
        <v>0.5988023952095809</v>
      </c>
      <c r="D689" s="24">
        <f t="shared" si="55"/>
        <v>0.08</v>
      </c>
      <c r="H689" t="s">
        <v>351</v>
      </c>
      <c r="I689" s="19">
        <v>0.08</v>
      </c>
    </row>
    <row r="690" spans="1:10" x14ac:dyDescent="0.25">
      <c r="A690" s="93"/>
      <c r="B690" s="93" t="s">
        <v>954</v>
      </c>
      <c r="C690" s="107">
        <f t="shared" si="54"/>
        <v>0</v>
      </c>
      <c r="D690" s="130">
        <f t="shared" si="55"/>
        <v>0</v>
      </c>
      <c r="G690" s="93"/>
      <c r="H690" s="93" t="s">
        <v>954</v>
      </c>
      <c r="I690" s="106">
        <v>0</v>
      </c>
    </row>
    <row r="691" spans="1:10" x14ac:dyDescent="0.25">
      <c r="A691" s="6" t="s">
        <v>1049</v>
      </c>
      <c r="B691" s="6" t="s">
        <v>102</v>
      </c>
      <c r="C691" s="133">
        <f t="shared" ref="C691:C698" si="56">I691*J$691/20</f>
        <v>0.13620071684587814</v>
      </c>
      <c r="D691" s="134">
        <f t="shared" ref="D691:D698" si="57">J$691*I691/J$691</f>
        <v>1.9E-2</v>
      </c>
      <c r="G691" t="s">
        <v>1049</v>
      </c>
      <c r="H691" t="s">
        <v>102</v>
      </c>
      <c r="I691" s="19">
        <v>1.9E-2</v>
      </c>
      <c r="J691">
        <f>20000/139.5</f>
        <v>143.36917562724014</v>
      </c>
    </row>
    <row r="692" spans="1:10" x14ac:dyDescent="0.25">
      <c r="A692" s="6"/>
      <c r="B692" s="6" t="s">
        <v>348</v>
      </c>
      <c r="C692" s="133">
        <f t="shared" si="56"/>
        <v>0.91756272401433692</v>
      </c>
      <c r="D692" s="134">
        <f t="shared" si="57"/>
        <v>0.128</v>
      </c>
      <c r="H692" t="s">
        <v>348</v>
      </c>
      <c r="I692" s="19">
        <v>0.128</v>
      </c>
    </row>
    <row r="693" spans="1:10" x14ac:dyDescent="0.25">
      <c r="A693" s="6"/>
      <c r="B693" s="6" t="s">
        <v>353</v>
      </c>
      <c r="C693" s="133">
        <f t="shared" si="56"/>
        <v>0.86738351254480273</v>
      </c>
      <c r="D693" s="134">
        <f t="shared" si="57"/>
        <v>0.12099999999999998</v>
      </c>
      <c r="H693" t="s">
        <v>353</v>
      </c>
      <c r="I693" s="19">
        <v>0.121</v>
      </c>
    </row>
    <row r="694" spans="1:10" x14ac:dyDescent="0.25">
      <c r="A694" s="6"/>
      <c r="B694" s="6" t="s">
        <v>352</v>
      </c>
      <c r="C694" s="133">
        <f t="shared" si="56"/>
        <v>0.45161290322580638</v>
      </c>
      <c r="D694" s="134">
        <f t="shared" si="57"/>
        <v>6.3E-2</v>
      </c>
      <c r="H694" t="s">
        <v>352</v>
      </c>
      <c r="I694" s="19">
        <v>6.3E-2</v>
      </c>
    </row>
    <row r="695" spans="1:10" x14ac:dyDescent="0.25">
      <c r="A695" s="6"/>
      <c r="B695" s="6" t="s">
        <v>95</v>
      </c>
      <c r="C695" s="133">
        <f t="shared" si="56"/>
        <v>0.22222222222222224</v>
      </c>
      <c r="D695" s="134">
        <f t="shared" si="57"/>
        <v>3.1000000000000003E-2</v>
      </c>
      <c r="H695" t="s">
        <v>95</v>
      </c>
      <c r="I695" s="19">
        <v>3.1E-2</v>
      </c>
    </row>
    <row r="696" spans="1:10" x14ac:dyDescent="0.25">
      <c r="A696" s="6"/>
      <c r="B696" s="6" t="s">
        <v>350</v>
      </c>
      <c r="C696" s="133">
        <f t="shared" si="56"/>
        <v>0.40860215053763438</v>
      </c>
      <c r="D696" s="134">
        <f t="shared" si="57"/>
        <v>5.7000000000000002E-2</v>
      </c>
      <c r="H696" t="s">
        <v>350</v>
      </c>
      <c r="I696" s="19">
        <v>5.7000000000000002E-2</v>
      </c>
    </row>
    <row r="697" spans="1:10" x14ac:dyDescent="0.25">
      <c r="A697" s="6"/>
      <c r="B697" s="6" t="s">
        <v>351</v>
      </c>
      <c r="C697" s="133">
        <f t="shared" si="56"/>
        <v>0.57347670250896055</v>
      </c>
      <c r="D697" s="134">
        <f t="shared" si="57"/>
        <v>0.08</v>
      </c>
      <c r="H697" t="s">
        <v>351</v>
      </c>
      <c r="I697" s="19">
        <v>0.08</v>
      </c>
    </row>
    <row r="698" spans="1:10" x14ac:dyDescent="0.25">
      <c r="A698" s="129"/>
      <c r="B698" s="129" t="s">
        <v>954</v>
      </c>
      <c r="C698" s="135">
        <f t="shared" si="56"/>
        <v>0.21505376344086019</v>
      </c>
      <c r="D698" s="136">
        <f t="shared" si="57"/>
        <v>0.03</v>
      </c>
      <c r="G698" s="93"/>
      <c r="H698" s="93" t="s">
        <v>954</v>
      </c>
      <c r="I698" s="106">
        <v>0.03</v>
      </c>
    </row>
    <row r="699" spans="1:10" x14ac:dyDescent="0.25">
      <c r="A699" t="s">
        <v>1049</v>
      </c>
      <c r="B699" t="s">
        <v>102</v>
      </c>
      <c r="C699" s="33">
        <f t="shared" ref="C699:C706" si="58">I699*J$699/20</f>
        <v>0.15232292460015232</v>
      </c>
      <c r="D699" s="24">
        <f t="shared" ref="D699:D706" si="59">J$699*I699/J$699</f>
        <v>0.02</v>
      </c>
      <c r="G699" t="s">
        <v>1049</v>
      </c>
      <c r="H699" t="s">
        <v>102</v>
      </c>
      <c r="I699" s="19">
        <v>0.02</v>
      </c>
      <c r="J699">
        <f>20000/131.3</f>
        <v>152.32292460015231</v>
      </c>
    </row>
    <row r="700" spans="1:10" x14ac:dyDescent="0.25">
      <c r="B700" t="s">
        <v>348</v>
      </c>
      <c r="C700" s="33">
        <f t="shared" si="58"/>
        <v>0.89870525514089861</v>
      </c>
      <c r="D700" s="24">
        <f t="shared" si="59"/>
        <v>0.11800000000000001</v>
      </c>
      <c r="H700" t="s">
        <v>348</v>
      </c>
      <c r="I700" s="19">
        <v>0.11799999999999999</v>
      </c>
    </row>
    <row r="701" spans="1:10" x14ac:dyDescent="0.25">
      <c r="B701" t="s">
        <v>353</v>
      </c>
      <c r="C701" s="33">
        <f t="shared" si="58"/>
        <v>1.4089870525514088</v>
      </c>
      <c r="D701" s="24">
        <f t="shared" si="59"/>
        <v>0.185</v>
      </c>
      <c r="H701" t="s">
        <v>353</v>
      </c>
      <c r="I701" s="19">
        <v>0.185</v>
      </c>
    </row>
    <row r="702" spans="1:10" x14ac:dyDescent="0.25">
      <c r="B702" t="s">
        <v>352</v>
      </c>
      <c r="C702" s="33">
        <f t="shared" si="58"/>
        <v>0.41888804265041885</v>
      </c>
      <c r="D702" s="24">
        <f t="shared" si="59"/>
        <v>5.5E-2</v>
      </c>
      <c r="H702" t="s">
        <v>352</v>
      </c>
      <c r="I702" s="19">
        <v>5.5E-2</v>
      </c>
    </row>
    <row r="703" spans="1:10" x14ac:dyDescent="0.25">
      <c r="B703" t="s">
        <v>95</v>
      </c>
      <c r="C703" s="33">
        <f t="shared" si="58"/>
        <v>0.41127189642041123</v>
      </c>
      <c r="D703" s="24">
        <f t="shared" si="59"/>
        <v>5.3999999999999999E-2</v>
      </c>
      <c r="H703" t="s">
        <v>95</v>
      </c>
      <c r="I703" s="19">
        <v>5.3999999999999999E-2</v>
      </c>
    </row>
    <row r="704" spans="1:10" x14ac:dyDescent="0.25">
      <c r="B704" t="s">
        <v>350</v>
      </c>
      <c r="C704" s="33">
        <f t="shared" si="58"/>
        <v>0.38080731150038077</v>
      </c>
      <c r="D704" s="24">
        <f t="shared" si="59"/>
        <v>0.05</v>
      </c>
      <c r="H704" t="s">
        <v>350</v>
      </c>
      <c r="I704" s="19">
        <v>0.05</v>
      </c>
    </row>
    <row r="705" spans="1:11" x14ac:dyDescent="0.25">
      <c r="B705" t="s">
        <v>351</v>
      </c>
      <c r="C705" s="33">
        <f t="shared" si="58"/>
        <v>0.60929169840060926</v>
      </c>
      <c r="D705" s="24">
        <f t="shared" si="59"/>
        <v>0.08</v>
      </c>
      <c r="H705" t="s">
        <v>351</v>
      </c>
      <c r="I705" s="19">
        <v>0.08</v>
      </c>
    </row>
    <row r="706" spans="1:11" x14ac:dyDescent="0.25">
      <c r="A706" s="93"/>
      <c r="B706" s="93" t="s">
        <v>954</v>
      </c>
      <c r="C706" s="107">
        <f t="shared" si="58"/>
        <v>0</v>
      </c>
      <c r="D706" s="130">
        <f t="shared" si="59"/>
        <v>0</v>
      </c>
      <c r="G706" s="93"/>
      <c r="H706" s="93" t="s">
        <v>954</v>
      </c>
      <c r="I706" s="106">
        <v>0</v>
      </c>
    </row>
    <row r="710" spans="1:11" x14ac:dyDescent="0.25">
      <c r="A710" s="5" t="s">
        <v>1054</v>
      </c>
      <c r="B710" s="5"/>
      <c r="C710" s="5"/>
      <c r="D710" s="5"/>
      <c r="E710" s="5"/>
      <c r="F710" s="5"/>
      <c r="G710" s="5"/>
      <c r="H710" s="5"/>
      <c r="I710" s="5"/>
      <c r="J710" s="5"/>
      <c r="K710" s="5"/>
    </row>
    <row r="711" spans="1:11" x14ac:dyDescent="0.25">
      <c r="A711" s="5" t="s">
        <v>1053</v>
      </c>
      <c r="B711" s="5"/>
      <c r="C711" s="5"/>
      <c r="D711" s="5"/>
      <c r="E711" s="5"/>
      <c r="F711" s="5"/>
      <c r="G711" s="5"/>
      <c r="H711" s="5"/>
      <c r="I711" s="5"/>
      <c r="J711" s="5"/>
      <c r="K711" s="5"/>
    </row>
    <row r="712" spans="1:11" x14ac:dyDescent="0.25">
      <c r="A712" s="18" t="s">
        <v>1055</v>
      </c>
    </row>
    <row r="713" spans="1:11" x14ac:dyDescent="0.25">
      <c r="A713" t="s">
        <v>1056</v>
      </c>
    </row>
    <row r="715" spans="1:11" x14ac:dyDescent="0.25">
      <c r="A715" s="93"/>
      <c r="B715" s="93"/>
      <c r="C715" s="93"/>
      <c r="D715" s="93"/>
    </row>
    <row r="716" spans="1:11" x14ac:dyDescent="0.25">
      <c r="A716" s="67" t="s">
        <v>888</v>
      </c>
      <c r="B716" s="67" t="s">
        <v>889</v>
      </c>
      <c r="C716" s="67" t="s">
        <v>1061</v>
      </c>
      <c r="D716" s="67" t="s">
        <v>905</v>
      </c>
    </row>
    <row r="717" spans="1:11" x14ac:dyDescent="0.25">
      <c r="A717" t="s">
        <v>921</v>
      </c>
      <c r="B717" t="s">
        <v>102</v>
      </c>
      <c r="C717">
        <v>10.98</v>
      </c>
      <c r="D717" s="16">
        <f>C717/110</f>
        <v>9.981818181818182E-2</v>
      </c>
    </row>
    <row r="718" spans="1:11" x14ac:dyDescent="0.25">
      <c r="B718" t="s">
        <v>352</v>
      </c>
      <c r="C718">
        <v>0</v>
      </c>
      <c r="D718" s="16">
        <f t="shared" ref="D718:D781" si="60">C718/110</f>
        <v>0</v>
      </c>
    </row>
    <row r="719" spans="1:11" x14ac:dyDescent="0.25">
      <c r="B719" t="s">
        <v>95</v>
      </c>
      <c r="C719">
        <v>0</v>
      </c>
      <c r="D719" s="16">
        <f t="shared" si="60"/>
        <v>0</v>
      </c>
    </row>
    <row r="720" spans="1:11" x14ac:dyDescent="0.25">
      <c r="B720" t="s">
        <v>350</v>
      </c>
      <c r="C720">
        <v>0</v>
      </c>
      <c r="D720" s="16">
        <f t="shared" si="60"/>
        <v>0</v>
      </c>
    </row>
    <row r="721" spans="1:4" x14ac:dyDescent="0.25">
      <c r="B721" t="s">
        <v>348</v>
      </c>
      <c r="C721">
        <v>172.79</v>
      </c>
      <c r="D721" s="16">
        <f t="shared" si="60"/>
        <v>1.5708181818181817</v>
      </c>
    </row>
    <row r="722" spans="1:4" x14ac:dyDescent="0.25">
      <c r="B722" t="s">
        <v>353</v>
      </c>
      <c r="C722">
        <v>99.58</v>
      </c>
      <c r="D722" s="16">
        <f t="shared" si="60"/>
        <v>0.90527272727272723</v>
      </c>
    </row>
    <row r="723" spans="1:4" x14ac:dyDescent="0.25">
      <c r="B723" t="s">
        <v>457</v>
      </c>
      <c r="C723">
        <v>130.80000000000001</v>
      </c>
      <c r="D723" s="16">
        <f t="shared" si="60"/>
        <v>1.1890909090909092</v>
      </c>
    </row>
    <row r="724" spans="1:4" x14ac:dyDescent="0.25">
      <c r="A724" s="93"/>
      <c r="B724" s="93" t="s">
        <v>800</v>
      </c>
      <c r="C724" s="93">
        <v>0</v>
      </c>
      <c r="D724" s="125">
        <f t="shared" si="60"/>
        <v>0</v>
      </c>
    </row>
    <row r="725" spans="1:4" x14ac:dyDescent="0.25">
      <c r="A725" t="s">
        <v>922</v>
      </c>
      <c r="B725" t="s">
        <v>102</v>
      </c>
      <c r="C725" s="95">
        <v>11.35</v>
      </c>
      <c r="D725" s="16">
        <f t="shared" si="60"/>
        <v>0.10318181818181818</v>
      </c>
    </row>
    <row r="726" spans="1:4" x14ac:dyDescent="0.25">
      <c r="B726" t="s">
        <v>352</v>
      </c>
      <c r="C726" s="95">
        <v>73.36</v>
      </c>
      <c r="D726" s="16">
        <f t="shared" si="60"/>
        <v>0.6669090909090909</v>
      </c>
    </row>
    <row r="727" spans="1:4" x14ac:dyDescent="0.25">
      <c r="B727" t="s">
        <v>95</v>
      </c>
      <c r="C727" s="95">
        <v>13.81</v>
      </c>
      <c r="D727" s="16">
        <f t="shared" si="60"/>
        <v>0.12554545454545454</v>
      </c>
    </row>
    <row r="728" spans="1:4" x14ac:dyDescent="0.25">
      <c r="B728" t="s">
        <v>350</v>
      </c>
      <c r="C728" s="95">
        <v>0</v>
      </c>
      <c r="D728" s="16">
        <f t="shared" si="60"/>
        <v>0</v>
      </c>
    </row>
    <row r="729" spans="1:4" x14ac:dyDescent="0.25">
      <c r="B729" t="s">
        <v>348</v>
      </c>
      <c r="C729" s="95">
        <v>135.08000000000001</v>
      </c>
      <c r="D729" s="16">
        <f t="shared" si="60"/>
        <v>1.2280000000000002</v>
      </c>
    </row>
    <row r="730" spans="1:4" x14ac:dyDescent="0.25">
      <c r="B730" t="s">
        <v>353</v>
      </c>
      <c r="C730">
        <v>86.46</v>
      </c>
      <c r="D730" s="16">
        <f t="shared" si="60"/>
        <v>0.78599999999999992</v>
      </c>
    </row>
    <row r="731" spans="1:4" x14ac:dyDescent="0.25">
      <c r="B731" t="s">
        <v>457</v>
      </c>
      <c r="C731">
        <v>117.71</v>
      </c>
      <c r="D731" s="16">
        <f t="shared" si="60"/>
        <v>1.070090909090909</v>
      </c>
    </row>
    <row r="732" spans="1:4" x14ac:dyDescent="0.25">
      <c r="A732" s="93"/>
      <c r="B732" s="93" t="s">
        <v>800</v>
      </c>
      <c r="C732" s="93">
        <v>0</v>
      </c>
      <c r="D732" s="125">
        <f t="shared" si="60"/>
        <v>0</v>
      </c>
    </row>
    <row r="733" spans="1:4" x14ac:dyDescent="0.25">
      <c r="A733" t="s">
        <v>1057</v>
      </c>
      <c r="B733" t="s">
        <v>102</v>
      </c>
      <c r="C733" s="95">
        <v>15.63</v>
      </c>
      <c r="D733" s="16">
        <f t="shared" si="60"/>
        <v>0.1420909090909091</v>
      </c>
    </row>
    <row r="734" spans="1:4" x14ac:dyDescent="0.25">
      <c r="B734" t="s">
        <v>352</v>
      </c>
      <c r="C734">
        <v>38.42</v>
      </c>
      <c r="D734" s="16">
        <f t="shared" si="60"/>
        <v>0.34927272727272729</v>
      </c>
    </row>
    <row r="735" spans="1:4" x14ac:dyDescent="0.25">
      <c r="B735" t="s">
        <v>95</v>
      </c>
      <c r="C735">
        <v>38.58</v>
      </c>
      <c r="D735" s="16">
        <f t="shared" si="60"/>
        <v>0.35072727272727272</v>
      </c>
    </row>
    <row r="736" spans="1:4" x14ac:dyDescent="0.25">
      <c r="B736" t="s">
        <v>350</v>
      </c>
      <c r="C736">
        <v>35.97</v>
      </c>
      <c r="D736" s="16">
        <f t="shared" si="60"/>
        <v>0.32700000000000001</v>
      </c>
    </row>
    <row r="737" spans="1:4" x14ac:dyDescent="0.25">
      <c r="B737" t="s">
        <v>348</v>
      </c>
      <c r="C737">
        <v>141.94999999999999</v>
      </c>
      <c r="D737" s="16">
        <f t="shared" si="60"/>
        <v>1.2904545454545453</v>
      </c>
    </row>
    <row r="738" spans="1:4" x14ac:dyDescent="0.25">
      <c r="B738" t="s">
        <v>353</v>
      </c>
      <c r="C738">
        <v>87.62</v>
      </c>
      <c r="D738" s="16">
        <f t="shared" si="60"/>
        <v>0.79654545454545456</v>
      </c>
    </row>
    <row r="739" spans="1:4" x14ac:dyDescent="0.25">
      <c r="B739" t="s">
        <v>457</v>
      </c>
      <c r="C739">
        <v>120.79</v>
      </c>
      <c r="D739" s="16">
        <f t="shared" si="60"/>
        <v>1.0980909090909092</v>
      </c>
    </row>
    <row r="740" spans="1:4" x14ac:dyDescent="0.25">
      <c r="A740" s="93"/>
      <c r="B740" s="93" t="s">
        <v>800</v>
      </c>
      <c r="C740" s="93">
        <v>0</v>
      </c>
      <c r="D740" s="125">
        <f t="shared" si="60"/>
        <v>0</v>
      </c>
    </row>
    <row r="741" spans="1:4" x14ac:dyDescent="0.25">
      <c r="A741" t="s">
        <v>1058</v>
      </c>
      <c r="B741" t="s">
        <v>102</v>
      </c>
      <c r="C741" s="95">
        <v>15.16</v>
      </c>
      <c r="D741" s="16">
        <f t="shared" si="60"/>
        <v>0.13781818181818181</v>
      </c>
    </row>
    <row r="742" spans="1:4" x14ac:dyDescent="0.25">
      <c r="B742" t="s">
        <v>352</v>
      </c>
      <c r="C742" s="95">
        <v>55.88</v>
      </c>
      <c r="D742" s="16">
        <f t="shared" si="60"/>
        <v>0.50800000000000001</v>
      </c>
    </row>
    <row r="743" spans="1:4" x14ac:dyDescent="0.25">
      <c r="B743" t="s">
        <v>95</v>
      </c>
      <c r="C743" s="95">
        <v>22.45</v>
      </c>
      <c r="D743" s="16">
        <f t="shared" si="60"/>
        <v>0.20409090909090907</v>
      </c>
    </row>
    <row r="744" spans="1:4" x14ac:dyDescent="0.25">
      <c r="B744" t="s">
        <v>350</v>
      </c>
      <c r="C744" s="95">
        <v>31.39</v>
      </c>
      <c r="D744" s="16">
        <f t="shared" si="60"/>
        <v>0.28536363636363637</v>
      </c>
    </row>
    <row r="745" spans="1:4" x14ac:dyDescent="0.25">
      <c r="B745" t="s">
        <v>348</v>
      </c>
      <c r="C745" s="95">
        <v>140.31</v>
      </c>
      <c r="D745" s="16">
        <f t="shared" si="60"/>
        <v>1.2755454545454545</v>
      </c>
    </row>
    <row r="746" spans="1:4" x14ac:dyDescent="0.25">
      <c r="B746" t="s">
        <v>353</v>
      </c>
      <c r="C746" s="95">
        <v>86.66</v>
      </c>
      <c r="D746" s="16">
        <f t="shared" si="60"/>
        <v>0.78781818181818175</v>
      </c>
    </row>
    <row r="747" spans="1:4" x14ac:dyDescent="0.25">
      <c r="B747" t="s">
        <v>457</v>
      </c>
      <c r="C747" s="95">
        <v>119.27</v>
      </c>
      <c r="D747" s="16">
        <f t="shared" si="60"/>
        <v>1.0842727272727273</v>
      </c>
    </row>
    <row r="748" spans="1:4" x14ac:dyDescent="0.25">
      <c r="A748" s="93"/>
      <c r="B748" s="93" t="s">
        <v>800</v>
      </c>
      <c r="C748" s="93">
        <v>0</v>
      </c>
      <c r="D748" s="125">
        <f t="shared" si="60"/>
        <v>0</v>
      </c>
    </row>
    <row r="749" spans="1:4" x14ac:dyDescent="0.25">
      <c r="A749" t="s">
        <v>1059</v>
      </c>
      <c r="B749" t="s">
        <v>102</v>
      </c>
      <c r="C749" s="95">
        <v>13.16</v>
      </c>
      <c r="D749" s="16">
        <f t="shared" si="60"/>
        <v>0.11963636363636364</v>
      </c>
    </row>
    <row r="750" spans="1:4" x14ac:dyDescent="0.25">
      <c r="B750" t="s">
        <v>352</v>
      </c>
      <c r="C750" s="95">
        <v>58.02</v>
      </c>
      <c r="D750" s="16">
        <f t="shared" si="60"/>
        <v>0.52745454545454551</v>
      </c>
    </row>
    <row r="751" spans="1:4" x14ac:dyDescent="0.25">
      <c r="B751" t="s">
        <v>95</v>
      </c>
      <c r="C751" s="95">
        <v>19.420000000000002</v>
      </c>
      <c r="D751" s="16">
        <f t="shared" si="60"/>
        <v>0.17654545454545456</v>
      </c>
    </row>
    <row r="752" spans="1:4" x14ac:dyDescent="0.25">
      <c r="B752" t="s">
        <v>350</v>
      </c>
      <c r="C752" s="95">
        <v>18.100000000000001</v>
      </c>
      <c r="D752" s="16">
        <f t="shared" si="60"/>
        <v>0.16454545454545455</v>
      </c>
    </row>
    <row r="753" spans="1:4" x14ac:dyDescent="0.25">
      <c r="B753" t="s">
        <v>348</v>
      </c>
      <c r="C753" s="95">
        <v>136.19</v>
      </c>
      <c r="D753" s="16">
        <f t="shared" si="60"/>
        <v>1.2380909090909091</v>
      </c>
    </row>
    <row r="754" spans="1:4" x14ac:dyDescent="0.25">
      <c r="B754" t="s">
        <v>353</v>
      </c>
      <c r="C754" s="95">
        <v>85.42</v>
      </c>
      <c r="D754" s="16">
        <f t="shared" si="60"/>
        <v>0.77654545454545454</v>
      </c>
    </row>
    <row r="755" spans="1:4" x14ac:dyDescent="0.25">
      <c r="B755" t="s">
        <v>457</v>
      </c>
      <c r="C755" s="95">
        <v>116.56</v>
      </c>
      <c r="D755" s="16">
        <f t="shared" si="60"/>
        <v>1.0596363636363637</v>
      </c>
    </row>
    <row r="756" spans="1:4" x14ac:dyDescent="0.25">
      <c r="A756" s="93"/>
      <c r="B756" s="93" t="s">
        <v>800</v>
      </c>
      <c r="C756" s="93">
        <v>0</v>
      </c>
      <c r="D756" s="125">
        <f t="shared" si="60"/>
        <v>0</v>
      </c>
    </row>
    <row r="757" spans="1:4" x14ac:dyDescent="0.25">
      <c r="A757" t="s">
        <v>1062</v>
      </c>
      <c r="B757" t="s">
        <v>102</v>
      </c>
      <c r="C757" s="95">
        <v>13.16</v>
      </c>
      <c r="D757" s="16">
        <f t="shared" si="60"/>
        <v>0.11963636363636364</v>
      </c>
    </row>
    <row r="758" spans="1:4" x14ac:dyDescent="0.25">
      <c r="B758" t="s">
        <v>352</v>
      </c>
      <c r="C758" s="95">
        <v>59.22</v>
      </c>
      <c r="D758" s="16">
        <f t="shared" si="60"/>
        <v>0.53836363636363638</v>
      </c>
    </row>
    <row r="759" spans="1:4" x14ac:dyDescent="0.25">
      <c r="B759" t="s">
        <v>95</v>
      </c>
      <c r="C759" s="95">
        <v>19.82</v>
      </c>
      <c r="D759" s="16">
        <f t="shared" si="60"/>
        <v>0.18018181818181819</v>
      </c>
    </row>
    <row r="760" spans="1:4" x14ac:dyDescent="0.25">
      <c r="B760" t="s">
        <v>350</v>
      </c>
      <c r="C760" s="95">
        <v>18.48</v>
      </c>
      <c r="D760" s="16">
        <f t="shared" si="60"/>
        <v>0.16800000000000001</v>
      </c>
    </row>
    <row r="761" spans="1:4" x14ac:dyDescent="0.25">
      <c r="B761" t="s">
        <v>348</v>
      </c>
      <c r="C761" s="95">
        <v>130.16999999999999</v>
      </c>
      <c r="D761" s="16">
        <f t="shared" si="60"/>
        <v>1.1833636363636362</v>
      </c>
    </row>
    <row r="762" spans="1:4" x14ac:dyDescent="0.25">
      <c r="B762" t="s">
        <v>353</v>
      </c>
      <c r="C762" s="95">
        <v>86.91</v>
      </c>
      <c r="D762" s="16">
        <f t="shared" si="60"/>
        <v>0.79009090909090907</v>
      </c>
    </row>
    <row r="763" spans="1:4" x14ac:dyDescent="0.25">
      <c r="B763" t="s">
        <v>457</v>
      </c>
      <c r="C763" s="95">
        <v>78.64</v>
      </c>
      <c r="D763" s="16">
        <f t="shared" si="60"/>
        <v>0.71490909090909094</v>
      </c>
    </row>
    <row r="764" spans="1:4" x14ac:dyDescent="0.25">
      <c r="A764" s="93"/>
      <c r="B764" s="93" t="s">
        <v>800</v>
      </c>
      <c r="C764" s="93">
        <v>7.78</v>
      </c>
      <c r="D764" s="125">
        <f t="shared" si="60"/>
        <v>7.0727272727272736E-2</v>
      </c>
    </row>
    <row r="765" spans="1:4" x14ac:dyDescent="0.25">
      <c r="A765" t="s">
        <v>1063</v>
      </c>
      <c r="B765" t="s">
        <v>102</v>
      </c>
      <c r="C765" s="95">
        <v>12.42</v>
      </c>
      <c r="D765" s="16">
        <f t="shared" si="60"/>
        <v>0.1129090909090909</v>
      </c>
    </row>
    <row r="766" spans="1:4" x14ac:dyDescent="0.25">
      <c r="B766" t="s">
        <v>352</v>
      </c>
      <c r="C766" s="95">
        <v>73.36</v>
      </c>
      <c r="D766" s="16">
        <f t="shared" si="60"/>
        <v>0.6669090909090909</v>
      </c>
    </row>
    <row r="767" spans="1:4" x14ac:dyDescent="0.25">
      <c r="B767" t="s">
        <v>95</v>
      </c>
      <c r="C767" s="95">
        <v>9.2100000000000009</v>
      </c>
      <c r="D767" s="16">
        <f t="shared" si="60"/>
        <v>8.3727272727272734E-2</v>
      </c>
    </row>
    <row r="768" spans="1:4" x14ac:dyDescent="0.25">
      <c r="B768" t="s">
        <v>350</v>
      </c>
      <c r="C768" s="95">
        <v>8.58</v>
      </c>
      <c r="D768" s="16">
        <f t="shared" si="60"/>
        <v>7.8E-2</v>
      </c>
    </row>
    <row r="769" spans="1:4" x14ac:dyDescent="0.25">
      <c r="B769" t="s">
        <v>348</v>
      </c>
      <c r="C769" s="95">
        <v>127.98</v>
      </c>
      <c r="D769" s="16">
        <f t="shared" si="60"/>
        <v>1.1634545454545455</v>
      </c>
    </row>
    <row r="770" spans="1:4" x14ac:dyDescent="0.25">
      <c r="B770" t="s">
        <v>353</v>
      </c>
      <c r="C770" s="95">
        <v>85.07</v>
      </c>
      <c r="D770" s="16">
        <f t="shared" si="60"/>
        <v>0.77336363636363625</v>
      </c>
    </row>
    <row r="771" spans="1:4" x14ac:dyDescent="0.25">
      <c r="B771" t="s">
        <v>457</v>
      </c>
      <c r="C771" s="95">
        <v>77.260000000000005</v>
      </c>
      <c r="D771" s="16">
        <f t="shared" si="60"/>
        <v>0.70236363636363641</v>
      </c>
    </row>
    <row r="772" spans="1:4" x14ac:dyDescent="0.25">
      <c r="A772" s="93"/>
      <c r="B772" s="93" t="s">
        <v>800</v>
      </c>
      <c r="C772" s="93">
        <v>7.64</v>
      </c>
      <c r="D772" s="125">
        <f t="shared" si="60"/>
        <v>6.9454545454545449E-2</v>
      </c>
    </row>
    <row r="773" spans="1:4" x14ac:dyDescent="0.25">
      <c r="A773" t="s">
        <v>1064</v>
      </c>
      <c r="B773" t="s">
        <v>102</v>
      </c>
      <c r="C773" s="95">
        <v>11.13</v>
      </c>
      <c r="D773" s="16">
        <f t="shared" si="60"/>
        <v>0.10118181818181819</v>
      </c>
    </row>
    <row r="774" spans="1:4" x14ac:dyDescent="0.25">
      <c r="B774" t="s">
        <v>352</v>
      </c>
      <c r="C774" s="95">
        <v>73.790000000000006</v>
      </c>
      <c r="D774" s="16">
        <f t="shared" si="60"/>
        <v>0.67081818181818187</v>
      </c>
    </row>
    <row r="775" spans="1:4" x14ac:dyDescent="0.25">
      <c r="B775" t="s">
        <v>95</v>
      </c>
      <c r="C775" s="95">
        <v>4.33</v>
      </c>
      <c r="D775" s="16">
        <f t="shared" si="60"/>
        <v>3.9363636363636365E-2</v>
      </c>
    </row>
    <row r="776" spans="1:4" x14ac:dyDescent="0.25">
      <c r="B776" t="s">
        <v>350</v>
      </c>
      <c r="C776" s="95">
        <v>3.84</v>
      </c>
      <c r="D776" s="16">
        <f t="shared" si="60"/>
        <v>3.490909090909091E-2</v>
      </c>
    </row>
    <row r="777" spans="1:4" x14ac:dyDescent="0.25">
      <c r="B777" t="s">
        <v>348</v>
      </c>
      <c r="C777" s="95">
        <v>124.94</v>
      </c>
      <c r="D777" s="16">
        <f t="shared" si="60"/>
        <v>1.1358181818181818</v>
      </c>
    </row>
    <row r="778" spans="1:4" x14ac:dyDescent="0.25">
      <c r="B778" t="s">
        <v>353</v>
      </c>
      <c r="C778" s="95">
        <v>84.02</v>
      </c>
      <c r="D778" s="16">
        <f t="shared" si="60"/>
        <v>0.76381818181818173</v>
      </c>
    </row>
    <row r="779" spans="1:4" x14ac:dyDescent="0.25">
      <c r="B779" t="s">
        <v>457</v>
      </c>
      <c r="C779" s="95">
        <v>75.599999999999994</v>
      </c>
      <c r="D779" s="16">
        <f t="shared" si="60"/>
        <v>0.68727272727272726</v>
      </c>
    </row>
    <row r="780" spans="1:4" x14ac:dyDescent="0.25">
      <c r="A780" s="93"/>
      <c r="B780" s="93" t="s">
        <v>800</v>
      </c>
      <c r="C780" s="93">
        <v>7.48</v>
      </c>
      <c r="D780" s="125">
        <f t="shared" si="60"/>
        <v>6.8000000000000005E-2</v>
      </c>
    </row>
    <row r="781" spans="1:4" x14ac:dyDescent="0.25">
      <c r="A781" t="s">
        <v>1018</v>
      </c>
      <c r="B781" t="s">
        <v>102</v>
      </c>
      <c r="C781" s="95">
        <f>18.15+0.96</f>
        <v>19.11</v>
      </c>
      <c r="D781" s="16">
        <f t="shared" si="60"/>
        <v>0.17372727272727273</v>
      </c>
    </row>
    <row r="782" spans="1:4" x14ac:dyDescent="0.25">
      <c r="B782" t="s">
        <v>352</v>
      </c>
      <c r="C782" s="95">
        <v>18.149999999999999</v>
      </c>
      <c r="D782" s="16">
        <f t="shared" ref="D782:D796" si="61">C782/110</f>
        <v>0.16499999999999998</v>
      </c>
    </row>
    <row r="783" spans="1:4" x14ac:dyDescent="0.25">
      <c r="B783" t="s">
        <v>95</v>
      </c>
      <c r="C783" s="95">
        <v>0</v>
      </c>
      <c r="D783" s="16">
        <f t="shared" si="61"/>
        <v>0</v>
      </c>
    </row>
    <row r="784" spans="1:4" x14ac:dyDescent="0.25">
      <c r="B784" t="s">
        <v>350</v>
      </c>
      <c r="C784" s="95">
        <v>0</v>
      </c>
      <c r="D784" s="16">
        <f t="shared" si="61"/>
        <v>0</v>
      </c>
    </row>
    <row r="785" spans="1:4" x14ac:dyDescent="0.25">
      <c r="B785" t="s">
        <v>348</v>
      </c>
      <c r="C785" s="95">
        <v>75.12</v>
      </c>
      <c r="D785" s="16">
        <f t="shared" si="61"/>
        <v>0.68290909090909091</v>
      </c>
    </row>
    <row r="786" spans="1:4" x14ac:dyDescent="0.25">
      <c r="B786" t="s">
        <v>353</v>
      </c>
      <c r="C786" s="95">
        <v>35.799999999999997</v>
      </c>
      <c r="D786" s="16">
        <f t="shared" si="61"/>
        <v>0.32545454545454544</v>
      </c>
    </row>
    <row r="787" spans="1:4" x14ac:dyDescent="0.25">
      <c r="B787" t="s">
        <v>457</v>
      </c>
      <c r="C787" s="95">
        <v>0</v>
      </c>
      <c r="D787" s="16">
        <f t="shared" si="61"/>
        <v>0</v>
      </c>
    </row>
    <row r="788" spans="1:4" x14ac:dyDescent="0.25">
      <c r="A788" s="93"/>
      <c r="B788" s="93" t="s">
        <v>800</v>
      </c>
      <c r="C788" s="93">
        <v>0</v>
      </c>
      <c r="D788" s="125">
        <f t="shared" si="61"/>
        <v>0</v>
      </c>
    </row>
    <row r="789" spans="1:4" x14ac:dyDescent="0.25">
      <c r="A789" t="s">
        <v>1060</v>
      </c>
      <c r="B789" t="s">
        <v>102</v>
      </c>
      <c r="C789" s="95">
        <f>11.26+0.78</f>
        <v>12.04</v>
      </c>
      <c r="D789" s="16">
        <f t="shared" si="61"/>
        <v>0.10945454545454544</v>
      </c>
    </row>
    <row r="790" spans="1:4" x14ac:dyDescent="0.25">
      <c r="B790" t="s">
        <v>352</v>
      </c>
      <c r="C790" s="95">
        <v>11.26</v>
      </c>
      <c r="D790" s="16">
        <f t="shared" si="61"/>
        <v>0.10236363636363636</v>
      </c>
    </row>
    <row r="791" spans="1:4" x14ac:dyDescent="0.25">
      <c r="B791" t="s">
        <v>95</v>
      </c>
      <c r="C791" s="95">
        <v>0</v>
      </c>
      <c r="D791" s="16">
        <f t="shared" si="61"/>
        <v>0</v>
      </c>
    </row>
    <row r="792" spans="1:4" x14ac:dyDescent="0.25">
      <c r="B792" t="s">
        <v>350</v>
      </c>
      <c r="C792" s="95">
        <v>0</v>
      </c>
      <c r="D792" s="16">
        <f t="shared" si="61"/>
        <v>0</v>
      </c>
    </row>
    <row r="793" spans="1:4" x14ac:dyDescent="0.25">
      <c r="B793" t="s">
        <v>348</v>
      </c>
      <c r="C793" s="95">
        <v>60.53</v>
      </c>
      <c r="D793" s="16">
        <f t="shared" si="61"/>
        <v>0.55027272727272725</v>
      </c>
    </row>
    <row r="794" spans="1:4" x14ac:dyDescent="0.25">
      <c r="B794" t="s">
        <v>353</v>
      </c>
      <c r="C794" s="95">
        <v>4.66</v>
      </c>
      <c r="D794" s="16">
        <f t="shared" si="61"/>
        <v>4.2363636363636367E-2</v>
      </c>
    </row>
    <row r="795" spans="1:4" x14ac:dyDescent="0.25">
      <c r="B795" t="s">
        <v>457</v>
      </c>
      <c r="C795" s="95">
        <v>0</v>
      </c>
      <c r="D795" s="16">
        <f t="shared" si="61"/>
        <v>0</v>
      </c>
    </row>
    <row r="796" spans="1:4" x14ac:dyDescent="0.25">
      <c r="A796" s="93"/>
      <c r="B796" s="93" t="s">
        <v>800</v>
      </c>
      <c r="C796" s="93">
        <v>0</v>
      </c>
      <c r="D796" s="125">
        <f t="shared" si="61"/>
        <v>0</v>
      </c>
    </row>
    <row r="801" spans="1:14" x14ac:dyDescent="0.25">
      <c r="A801" s="5" t="s">
        <v>1066</v>
      </c>
      <c r="B801" s="5"/>
      <c r="C801" s="5"/>
      <c r="D801" s="5"/>
      <c r="E801" s="5"/>
      <c r="F801" s="5"/>
      <c r="G801" s="5"/>
      <c r="H801" s="5"/>
      <c r="I801" s="5"/>
      <c r="J801" s="5"/>
      <c r="K801" s="5"/>
      <c r="L801" s="5"/>
      <c r="M801" s="5"/>
      <c r="N801" s="5"/>
    </row>
    <row r="802" spans="1:14" x14ac:dyDescent="0.25">
      <c r="A802" s="5" t="s">
        <v>1065</v>
      </c>
      <c r="B802" s="5"/>
      <c r="C802" s="5"/>
      <c r="D802" s="5"/>
      <c r="E802" s="5"/>
      <c r="F802" s="5"/>
      <c r="G802" s="5"/>
      <c r="H802" s="5"/>
      <c r="I802" s="5"/>
      <c r="J802" s="5"/>
      <c r="K802" s="5"/>
      <c r="L802" s="5"/>
      <c r="M802" s="5"/>
      <c r="N802" s="5"/>
    </row>
    <row r="803" spans="1:14" x14ac:dyDescent="0.25">
      <c r="A803" s="18" t="s">
        <v>1067</v>
      </c>
    </row>
    <row r="804" spans="1:14" x14ac:dyDescent="0.25">
      <c r="A804" t="s">
        <v>718</v>
      </c>
    </row>
    <row r="806" spans="1:14" x14ac:dyDescent="0.25">
      <c r="A806" t="s">
        <v>888</v>
      </c>
      <c r="B806" t="s">
        <v>889</v>
      </c>
      <c r="C806" t="s">
        <v>890</v>
      </c>
    </row>
    <row r="807" spans="1:14" x14ac:dyDescent="0.25">
      <c r="A807" t="s">
        <v>960</v>
      </c>
      <c r="B807" t="s">
        <v>25</v>
      </c>
      <c r="C807">
        <v>0.13</v>
      </c>
    </row>
    <row r="808" spans="1:14" x14ac:dyDescent="0.25">
      <c r="A808" t="s">
        <v>922</v>
      </c>
      <c r="B808" t="s">
        <v>25</v>
      </c>
      <c r="C808">
        <v>0.25</v>
      </c>
    </row>
    <row r="809" spans="1:14" x14ac:dyDescent="0.25">
      <c r="A809" t="s">
        <v>1018</v>
      </c>
      <c r="B809" t="s">
        <v>25</v>
      </c>
      <c r="C809">
        <v>0.41</v>
      </c>
    </row>
    <row r="812" spans="1:14" x14ac:dyDescent="0.25">
      <c r="A812" s="5" t="s">
        <v>1346</v>
      </c>
      <c r="B812" s="5"/>
      <c r="C812" s="5"/>
      <c r="D812" s="5"/>
      <c r="E812" s="5"/>
      <c r="F812" s="5"/>
      <c r="G812" s="5"/>
      <c r="H812" s="5"/>
      <c r="I812" s="5"/>
      <c r="J812" s="5"/>
      <c r="K812" s="5"/>
      <c r="L812" s="5"/>
    </row>
    <row r="813" spans="1:14" x14ac:dyDescent="0.25">
      <c r="A813" s="5" t="s">
        <v>1347</v>
      </c>
      <c r="B813" s="5"/>
      <c r="C813" s="5"/>
      <c r="D813" s="5"/>
      <c r="E813" s="5"/>
      <c r="F813" s="5"/>
      <c r="G813" s="5"/>
      <c r="H813" s="5"/>
      <c r="I813" s="5"/>
      <c r="J813" s="5"/>
      <c r="K813" s="5"/>
      <c r="L813" s="5"/>
    </row>
    <row r="814" spans="1:14" x14ac:dyDescent="0.25">
      <c r="A814" s="18" t="s">
        <v>1348</v>
      </c>
    </row>
    <row r="815" spans="1:14" x14ac:dyDescent="0.25">
      <c r="E815" t="s">
        <v>1357</v>
      </c>
      <c r="H815" t="s">
        <v>227</v>
      </c>
    </row>
    <row r="816" spans="1:14" x14ac:dyDescent="0.25">
      <c r="A816">
        <v>0.27</v>
      </c>
      <c r="B816" t="s">
        <v>1349</v>
      </c>
      <c r="G816" t="s">
        <v>1354</v>
      </c>
      <c r="H816">
        <f>A817*0.28+A820*0.018+A823*0.018</f>
        <v>1.5998428724324488E-2</v>
      </c>
    </row>
    <row r="817" spans="1:12" x14ac:dyDescent="0.25">
      <c r="A817" s="20">
        <f>A816/73.891*(2*6.941)</f>
        <v>5.0725257473846611E-2</v>
      </c>
      <c r="B817" t="s">
        <v>1350</v>
      </c>
      <c r="E817" s="51">
        <f>A817*0.28/(A817*0.28+A820*0.018+A823*0.018)</f>
        <v>0.88777918990771132</v>
      </c>
    </row>
    <row r="819" spans="1:12" x14ac:dyDescent="0.25">
      <c r="A819">
        <v>0.48</v>
      </c>
      <c r="B819" t="s">
        <v>1351</v>
      </c>
      <c r="G819" t="s">
        <v>1355</v>
      </c>
      <c r="H819">
        <f>0.434782608695652*H816</f>
        <v>6.9558385757932531E-3</v>
      </c>
    </row>
    <row r="820" spans="1:12" x14ac:dyDescent="0.25">
      <c r="A820" s="20">
        <f>A819/73.891*(2*6.941)</f>
        <v>9.0178235509060622E-2</v>
      </c>
      <c r="B820" t="s">
        <v>1353</v>
      </c>
      <c r="E820" s="51">
        <f>A820*0.018/(A817*0.28+A820*0.018+A823*0.018)</f>
        <v>0.10146047884659554</v>
      </c>
    </row>
    <row r="822" spans="1:12" x14ac:dyDescent="0.25">
      <c r="A822">
        <v>3.3000000000000002E-2</v>
      </c>
      <c r="B822" t="s">
        <v>1352</v>
      </c>
      <c r="G822" t="s">
        <v>1356</v>
      </c>
      <c r="H822" s="20">
        <f>H819/0.15</f>
        <v>4.637225717195502E-2</v>
      </c>
    </row>
    <row r="823" spans="1:12" x14ac:dyDescent="0.25">
      <c r="A823">
        <f>A822/23.95*6.941</f>
        <v>9.5637995824634659E-3</v>
      </c>
      <c r="B823" t="s">
        <v>1353</v>
      </c>
      <c r="E823" s="51">
        <f>A823*0.018/(A817*0.28+A820*0.018+A823*0.018)</f>
        <v>1.0760331245693073E-2</v>
      </c>
    </row>
    <row r="826" spans="1:12" x14ac:dyDescent="0.25">
      <c r="A826" s="5" t="s">
        <v>1358</v>
      </c>
      <c r="B826" s="5"/>
      <c r="C826" s="5"/>
      <c r="D826" s="5"/>
      <c r="E826" s="5"/>
      <c r="F826" s="5"/>
      <c r="G826" s="5"/>
      <c r="H826" s="5"/>
      <c r="I826" s="5"/>
      <c r="J826" s="5"/>
      <c r="K826" s="5"/>
      <c r="L826" s="5"/>
    </row>
    <row r="827" spans="1:12" x14ac:dyDescent="0.25">
      <c r="A827" s="5" t="s">
        <v>1359</v>
      </c>
      <c r="B827" s="5"/>
      <c r="C827" s="5"/>
      <c r="D827" s="5"/>
      <c r="E827" s="5"/>
      <c r="F827" s="5"/>
      <c r="G827" s="5"/>
      <c r="H827" s="5"/>
      <c r="I827" s="5"/>
      <c r="J827" s="5"/>
      <c r="K827" s="5"/>
      <c r="L827" s="5"/>
    </row>
    <row r="828" spans="1:12" x14ac:dyDescent="0.25">
      <c r="A828" s="18" t="s">
        <v>1360</v>
      </c>
    </row>
    <row r="830" spans="1:12" x14ac:dyDescent="0.25">
      <c r="A830" t="s">
        <v>1361</v>
      </c>
      <c r="B830">
        <v>238</v>
      </c>
      <c r="C830" t="s">
        <v>1368</v>
      </c>
    </row>
    <row r="832" spans="1:12" x14ac:dyDescent="0.25">
      <c r="A832">
        <v>0.106</v>
      </c>
      <c r="B832" t="s">
        <v>1362</v>
      </c>
      <c r="E832" s="13">
        <v>1.038</v>
      </c>
      <c r="F832" t="s">
        <v>1364</v>
      </c>
    </row>
    <row r="833" spans="1:6" x14ac:dyDescent="0.25">
      <c r="A833" s="20">
        <v>1.6E-2</v>
      </c>
      <c r="B833" t="s">
        <v>1363</v>
      </c>
      <c r="E833" s="13">
        <v>0.39800000000000002</v>
      </c>
      <c r="F833" t="s">
        <v>1365</v>
      </c>
    </row>
    <row r="834" spans="1:6" x14ac:dyDescent="0.25">
      <c r="E834" s="13">
        <f>E833/42.394*6.941</f>
        <v>6.516294758692269E-2</v>
      </c>
      <c r="F834" t="s">
        <v>1366</v>
      </c>
    </row>
    <row r="836" spans="1:6" x14ac:dyDescent="0.25">
      <c r="B836" t="s">
        <v>1367</v>
      </c>
      <c r="C836" s="13">
        <f>E832*A832+A833*E834</f>
        <v>0.11107060716139076</v>
      </c>
    </row>
    <row r="837" spans="1:6" x14ac:dyDescent="0.25">
      <c r="B837" t="s">
        <v>980</v>
      </c>
      <c r="C837" s="20">
        <f>C836/(B830/1000)</f>
        <v>0.46668322336718809</v>
      </c>
    </row>
    <row r="839" spans="1:6" x14ac:dyDescent="0.25">
      <c r="B839" t="s">
        <v>1369</v>
      </c>
      <c r="D839" s="229">
        <f>(E832*A832)/(E832*A832+A833*E834)</f>
        <v>0.99061311369374427</v>
      </c>
    </row>
    <row r="840" spans="1:6" x14ac:dyDescent="0.25">
      <c r="B840" t="s">
        <v>1370</v>
      </c>
      <c r="D840" s="229">
        <f>(A833*E834)/(E832*A832+A833*E834)</f>
        <v>9.3868863062556793E-3</v>
      </c>
    </row>
  </sheetData>
  <mergeCells count="18">
    <mergeCell ref="B411:E411"/>
    <mergeCell ref="B396:E396"/>
    <mergeCell ref="B399:E399"/>
    <mergeCell ref="B403:E403"/>
    <mergeCell ref="B407:E407"/>
    <mergeCell ref="B393:E393"/>
    <mergeCell ref="A158:P158"/>
    <mergeCell ref="B159:D159"/>
    <mergeCell ref="E159:G159"/>
    <mergeCell ref="H159:J159"/>
    <mergeCell ref="K159:M159"/>
    <mergeCell ref="N159:P159"/>
    <mergeCell ref="A161:P161"/>
    <mergeCell ref="A168:P168"/>
    <mergeCell ref="A170:P170"/>
    <mergeCell ref="B376:E376"/>
    <mergeCell ref="B381:E381"/>
    <mergeCell ref="B386:E386"/>
  </mergeCells>
  <hyperlinks>
    <hyperlink ref="A7" r:id="rId1" xr:uid="{00000000-0004-0000-0500-000000000000}"/>
    <hyperlink ref="A40" r:id="rId2" xr:uid="{00000000-0004-0000-0500-000001000000}"/>
    <hyperlink ref="A61" r:id="rId3" xr:uid="{00000000-0004-0000-0500-000002000000}"/>
    <hyperlink ref="A93" r:id="rId4" xr:uid="{00000000-0004-0000-0500-000003000000}"/>
    <hyperlink ref="A128" r:id="rId5" xr:uid="{00000000-0004-0000-0500-000004000000}"/>
    <hyperlink ref="A155" r:id="rId6" xr:uid="{00000000-0004-0000-0500-000005000000}"/>
    <hyperlink ref="A215" r:id="rId7" xr:uid="{00000000-0004-0000-0500-000006000000}"/>
    <hyperlink ref="A252" r:id="rId8" xr:uid="{00000000-0004-0000-0500-000007000000}"/>
    <hyperlink ref="A301" r:id="rId9" xr:uid="{00000000-0004-0000-0500-000008000000}"/>
    <hyperlink ref="A309" r:id="rId10" xr:uid="{00000000-0004-0000-0500-000009000000}"/>
    <hyperlink ref="A356" r:id="rId11" xr:uid="{00000000-0004-0000-0500-00000A000000}"/>
    <hyperlink ref="A367" r:id="rId12" xr:uid="{00000000-0004-0000-0500-00000B000000}"/>
    <hyperlink ref="A419" r:id="rId13" xr:uid="{00000000-0004-0000-0500-00000C000000}"/>
    <hyperlink ref="A448" r:id="rId14" location="fullTextFileContent" xr:uid="{00000000-0004-0000-0500-00000D000000}"/>
    <hyperlink ref="A508" r:id="rId15" xr:uid="{00000000-0004-0000-0500-00000E000000}"/>
    <hyperlink ref="A516" r:id="rId16" xr:uid="{00000000-0004-0000-0500-00000F000000}"/>
    <hyperlink ref="A590" r:id="rId17" xr:uid="{00000000-0004-0000-0500-000010000000}"/>
    <hyperlink ref="A627" r:id="rId18" xr:uid="{00000000-0004-0000-0500-000011000000}"/>
    <hyperlink ref="A639" r:id="rId19" xr:uid="{00000000-0004-0000-0500-000012000000}"/>
    <hyperlink ref="A647" r:id="rId20" xr:uid="{00000000-0004-0000-0500-000013000000}"/>
    <hyperlink ref="A803" r:id="rId21" xr:uid="{00000000-0004-0000-0500-000014000000}"/>
    <hyperlink ref="A814" r:id="rId22" xr:uid="{ED317B3F-4AD4-4149-9180-1CECDEB1BBD2}"/>
    <hyperlink ref="A828" r:id="rId23" xr:uid="{DDE20C7A-5D3A-4784-9F92-7E19AC3A8ED4}"/>
  </hyperlinks>
  <pageMargins left="0.7" right="0.7" top="0.75" bottom="0.75" header="0.3" footer="0.3"/>
  <pageSetup paperSize="9" orientation="portrait" r:id="rId24"/>
  <drawing r:id="rId2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2" tint="-9.9978637043366805E-2"/>
  </sheetPr>
  <dimension ref="A1:O482"/>
  <sheetViews>
    <sheetView topLeftCell="A342" workbookViewId="0">
      <selection activeCell="A361" sqref="A361"/>
    </sheetView>
  </sheetViews>
  <sheetFormatPr defaultRowHeight="15" x14ac:dyDescent="0.25"/>
  <cols>
    <col min="1" max="1" width="17" customWidth="1"/>
    <col min="3" max="3" width="12" bestFit="1" customWidth="1"/>
    <col min="5" max="5" width="17.7109375" customWidth="1"/>
  </cols>
  <sheetData>
    <row r="1" spans="1:14" x14ac:dyDescent="0.25">
      <c r="A1" s="5" t="s">
        <v>5</v>
      </c>
      <c r="B1" s="5"/>
      <c r="C1" s="5"/>
      <c r="D1" s="5"/>
      <c r="E1" s="5"/>
      <c r="F1" s="5"/>
      <c r="G1" s="5"/>
      <c r="H1" s="5"/>
      <c r="I1" s="5"/>
      <c r="J1" s="5"/>
      <c r="K1" s="5"/>
    </row>
    <row r="2" spans="1:14" x14ac:dyDescent="0.25">
      <c r="A2" s="4" t="s">
        <v>6</v>
      </c>
      <c r="B2" s="4"/>
      <c r="C2" s="4"/>
      <c r="D2" s="4"/>
      <c r="E2" s="4"/>
      <c r="F2" s="4"/>
      <c r="G2" s="4"/>
      <c r="H2" s="4"/>
      <c r="I2" s="4"/>
      <c r="J2" s="4"/>
      <c r="K2" s="4"/>
    </row>
    <row r="3" spans="1:14" x14ac:dyDescent="0.25">
      <c r="A3" s="7" t="s">
        <v>8</v>
      </c>
      <c r="B3" s="7"/>
      <c r="C3" s="7"/>
      <c r="D3" s="7"/>
      <c r="E3" s="7"/>
      <c r="F3" s="7"/>
      <c r="G3" s="7"/>
      <c r="H3" s="7"/>
      <c r="I3" s="7"/>
      <c r="J3" s="7"/>
      <c r="K3" s="7"/>
    </row>
    <row r="5" spans="1:14" x14ac:dyDescent="0.25">
      <c r="A5" s="5" t="s">
        <v>1070</v>
      </c>
      <c r="B5" s="5"/>
      <c r="C5" s="5"/>
      <c r="D5" s="5"/>
      <c r="E5" s="5"/>
      <c r="F5" s="5"/>
      <c r="G5" s="5"/>
      <c r="H5" s="5"/>
      <c r="I5" s="5"/>
      <c r="J5" s="5"/>
      <c r="K5" s="5"/>
      <c r="L5" s="5"/>
      <c r="M5" s="5"/>
      <c r="N5" s="5"/>
    </row>
    <row r="6" spans="1:14" x14ac:dyDescent="0.25">
      <c r="A6" s="29" t="s">
        <v>1069</v>
      </c>
      <c r="B6" s="5"/>
      <c r="C6" s="5"/>
      <c r="D6" s="5"/>
      <c r="E6" s="5"/>
      <c r="F6" s="5"/>
      <c r="G6" s="5"/>
      <c r="H6" s="5"/>
      <c r="I6" s="5"/>
      <c r="J6" s="5"/>
      <c r="K6" s="5"/>
      <c r="L6" s="5"/>
      <c r="M6" s="5"/>
      <c r="N6" s="5"/>
    </row>
    <row r="7" spans="1:14" x14ac:dyDescent="0.25">
      <c r="A7" s="18" t="s">
        <v>1071</v>
      </c>
    </row>
    <row r="8" spans="1:14" x14ac:dyDescent="0.25">
      <c r="A8" t="s">
        <v>1072</v>
      </c>
    </row>
    <row r="10" spans="1:14" x14ac:dyDescent="0.25">
      <c r="B10" s="15" t="s">
        <v>821</v>
      </c>
    </row>
    <row r="11" spans="1:14" x14ac:dyDescent="0.25">
      <c r="A11" t="s">
        <v>29</v>
      </c>
      <c r="B11" s="15">
        <v>0.28999999999999998</v>
      </c>
      <c r="C11">
        <v>0.14000000000000001</v>
      </c>
    </row>
    <row r="22" spans="1:14" x14ac:dyDescent="0.25">
      <c r="A22" s="6" t="s">
        <v>57</v>
      </c>
      <c r="B22" s="6"/>
      <c r="C22" s="6"/>
      <c r="D22" s="6"/>
      <c r="E22" s="6"/>
      <c r="F22" s="6"/>
      <c r="G22" s="6"/>
      <c r="H22" s="6"/>
      <c r="I22" s="6"/>
      <c r="J22" s="6"/>
      <c r="K22" s="6"/>
      <c r="L22" s="6"/>
      <c r="M22" s="6"/>
      <c r="N22" s="6"/>
    </row>
    <row r="23" spans="1:14" x14ac:dyDescent="0.25">
      <c r="A23" s="30" t="s">
        <v>1073</v>
      </c>
      <c r="B23" s="6"/>
      <c r="C23" s="6"/>
      <c r="D23" s="6"/>
      <c r="E23" s="6"/>
      <c r="F23" s="6"/>
      <c r="G23" s="6"/>
      <c r="H23" s="6"/>
      <c r="I23" s="6"/>
      <c r="J23" s="6"/>
      <c r="K23" s="6"/>
      <c r="L23" s="6"/>
      <c r="M23" s="6"/>
      <c r="N23" s="6"/>
    </row>
    <row r="24" spans="1:14" x14ac:dyDescent="0.25">
      <c r="A24" s="18" t="s">
        <v>1074</v>
      </c>
    </row>
    <row r="26" spans="1:14" x14ac:dyDescent="0.25">
      <c r="A26" t="s">
        <v>1075</v>
      </c>
      <c r="H26">
        <v>2</v>
      </c>
      <c r="I26" s="9" t="s">
        <v>1081</v>
      </c>
    </row>
    <row r="27" spans="1:14" x14ac:dyDescent="0.25">
      <c r="H27">
        <v>45</v>
      </c>
      <c r="I27" s="9" t="s">
        <v>1078</v>
      </c>
    </row>
    <row r="28" spans="1:14" x14ac:dyDescent="0.25">
      <c r="H28">
        <v>46</v>
      </c>
      <c r="I28" s="9" t="s">
        <v>1079</v>
      </c>
    </row>
    <row r="29" spans="1:14" x14ac:dyDescent="0.25">
      <c r="H29">
        <v>47</v>
      </c>
      <c r="I29" s="9" t="s">
        <v>1080</v>
      </c>
    </row>
    <row r="32" spans="1:14" x14ac:dyDescent="0.25">
      <c r="A32" s="6" t="s">
        <v>1076</v>
      </c>
      <c r="B32" s="6"/>
      <c r="C32" s="6"/>
      <c r="D32" s="6"/>
      <c r="E32" s="6"/>
      <c r="F32" s="6"/>
      <c r="G32" s="6"/>
      <c r="H32" s="6"/>
      <c r="I32" s="6"/>
      <c r="J32" s="6"/>
      <c r="K32" s="6"/>
      <c r="L32" s="6"/>
      <c r="M32" s="6"/>
      <c r="N32" s="6"/>
    </row>
    <row r="33" spans="1:14" x14ac:dyDescent="0.25">
      <c r="A33" s="30" t="s">
        <v>1077</v>
      </c>
      <c r="B33" s="6"/>
      <c r="C33" s="6"/>
      <c r="D33" s="6"/>
      <c r="E33" s="6"/>
      <c r="F33" s="6"/>
      <c r="G33" s="6"/>
      <c r="H33" s="6"/>
      <c r="I33" s="6"/>
      <c r="J33" s="6"/>
      <c r="K33" s="6"/>
      <c r="L33" s="6"/>
      <c r="M33" s="6"/>
      <c r="N33" s="6"/>
    </row>
    <row r="34" spans="1:14" x14ac:dyDescent="0.25">
      <c r="A34" s="18" t="s">
        <v>1082</v>
      </c>
      <c r="L34" t="s">
        <v>1088</v>
      </c>
    </row>
    <row r="37" spans="1:14" x14ac:dyDescent="0.25">
      <c r="A37" s="15" t="s">
        <v>1083</v>
      </c>
    </row>
    <row r="39" spans="1:14" x14ac:dyDescent="0.25">
      <c r="B39" t="s">
        <v>821</v>
      </c>
    </row>
    <row r="40" spans="1:14" x14ac:dyDescent="0.25">
      <c r="A40" t="s">
        <v>29</v>
      </c>
      <c r="B40">
        <v>0.8</v>
      </c>
    </row>
    <row r="47" spans="1:14" x14ac:dyDescent="0.25">
      <c r="A47" s="5" t="s">
        <v>1085</v>
      </c>
      <c r="B47" s="5"/>
      <c r="C47" s="5"/>
      <c r="D47" s="5"/>
      <c r="E47" s="5"/>
      <c r="F47" s="5"/>
      <c r="G47" s="5"/>
      <c r="H47" s="5"/>
      <c r="I47" s="5"/>
      <c r="J47" s="5"/>
      <c r="K47" s="5"/>
      <c r="L47" s="5"/>
      <c r="M47" s="5"/>
      <c r="N47" s="5"/>
    </row>
    <row r="48" spans="1:14" x14ac:dyDescent="0.25">
      <c r="A48" s="29" t="s">
        <v>1086</v>
      </c>
      <c r="B48" s="5"/>
      <c r="C48" s="5"/>
      <c r="D48" s="5"/>
      <c r="E48" s="5"/>
      <c r="F48" s="5"/>
      <c r="G48" s="5"/>
      <c r="H48" s="5"/>
      <c r="I48" s="5"/>
      <c r="J48" s="5"/>
      <c r="K48" s="5"/>
      <c r="L48" s="5"/>
      <c r="M48" s="5"/>
      <c r="N48" s="5"/>
    </row>
    <row r="49" spans="1:2" x14ac:dyDescent="0.25">
      <c r="A49" s="18" t="s">
        <v>1084</v>
      </c>
    </row>
    <row r="50" spans="1:2" x14ac:dyDescent="0.25">
      <c r="A50" t="s">
        <v>1092</v>
      </c>
    </row>
    <row r="53" spans="1:2" x14ac:dyDescent="0.25">
      <c r="A53" s="15" t="s">
        <v>1083</v>
      </c>
    </row>
    <row r="55" spans="1:2" x14ac:dyDescent="0.25">
      <c r="B55" t="s">
        <v>1087</v>
      </c>
    </row>
    <row r="56" spans="1:2" x14ac:dyDescent="0.25">
      <c r="A56">
        <v>1</v>
      </c>
      <c r="B56">
        <v>0.114</v>
      </c>
    </row>
    <row r="57" spans="1:2" x14ac:dyDescent="0.25">
      <c r="A57">
        <v>2</v>
      </c>
      <c r="B57">
        <v>0.106</v>
      </c>
    </row>
    <row r="58" spans="1:2" x14ac:dyDescent="0.25">
      <c r="A58">
        <v>3</v>
      </c>
      <c r="B58">
        <v>9.9000000000000005E-2</v>
      </c>
    </row>
    <row r="59" spans="1:2" x14ac:dyDescent="0.25">
      <c r="A59" t="s">
        <v>561</v>
      </c>
      <c r="B59">
        <f>AVERAGE(B56:B58)</f>
        <v>0.10633333333333334</v>
      </c>
    </row>
    <row r="67" spans="1:14" x14ac:dyDescent="0.25">
      <c r="A67" s="5" t="s">
        <v>1091</v>
      </c>
      <c r="B67" s="5"/>
      <c r="C67" s="5"/>
      <c r="D67" s="5"/>
      <c r="E67" s="5"/>
      <c r="F67" s="5"/>
      <c r="G67" s="5"/>
      <c r="H67" s="5"/>
      <c r="I67" s="5"/>
      <c r="J67" s="5"/>
      <c r="K67" s="5"/>
      <c r="L67" s="5"/>
      <c r="M67" s="5"/>
      <c r="N67" s="5"/>
    </row>
    <row r="68" spans="1:14" x14ac:dyDescent="0.25">
      <c r="A68" s="5" t="s">
        <v>1089</v>
      </c>
      <c r="B68" s="5"/>
      <c r="C68" s="5"/>
      <c r="D68" s="5"/>
      <c r="E68" s="5"/>
      <c r="F68" s="5"/>
      <c r="G68" s="5"/>
      <c r="H68" s="5"/>
      <c r="I68" s="5"/>
      <c r="J68" s="5"/>
      <c r="K68" s="5"/>
      <c r="L68" s="5"/>
      <c r="M68" s="5"/>
      <c r="N68" s="5"/>
    </row>
    <row r="69" spans="1:14" x14ac:dyDescent="0.25">
      <c r="A69" s="18" t="s">
        <v>1090</v>
      </c>
    </row>
    <row r="70" spans="1:14" x14ac:dyDescent="0.25">
      <c r="A70" t="s">
        <v>1093</v>
      </c>
    </row>
    <row r="72" spans="1:14" x14ac:dyDescent="0.25">
      <c r="A72" s="15" t="s">
        <v>1083</v>
      </c>
    </row>
    <row r="74" spans="1:14" x14ac:dyDescent="0.25">
      <c r="B74" t="s">
        <v>821</v>
      </c>
    </row>
    <row r="75" spans="1:14" x14ac:dyDescent="0.25">
      <c r="A75" t="s">
        <v>108</v>
      </c>
      <c r="B75">
        <v>0.19</v>
      </c>
    </row>
    <row r="79" spans="1:14" x14ac:dyDescent="0.25">
      <c r="A79" s="5" t="s">
        <v>1094</v>
      </c>
      <c r="B79" s="5"/>
      <c r="C79" s="5"/>
      <c r="D79" s="5"/>
      <c r="E79" s="5"/>
      <c r="F79" s="5"/>
      <c r="G79" s="5"/>
      <c r="H79" s="5"/>
      <c r="I79" s="5"/>
      <c r="J79" s="5"/>
      <c r="K79" s="5"/>
      <c r="L79" s="5"/>
      <c r="M79" s="5"/>
      <c r="N79" s="5"/>
    </row>
    <row r="80" spans="1:14" x14ac:dyDescent="0.25">
      <c r="A80" s="5" t="s">
        <v>1096</v>
      </c>
      <c r="B80" s="5"/>
      <c r="C80" s="5"/>
      <c r="D80" s="5"/>
      <c r="E80" s="5"/>
      <c r="F80" s="5"/>
      <c r="G80" s="5"/>
      <c r="H80" s="5"/>
      <c r="I80" s="5"/>
      <c r="J80" s="5"/>
      <c r="K80" s="5"/>
      <c r="L80" s="5"/>
      <c r="M80" s="5"/>
      <c r="N80" s="5"/>
    </row>
    <row r="81" spans="1:14" x14ac:dyDescent="0.25">
      <c r="A81" s="18" t="s">
        <v>1095</v>
      </c>
    </row>
    <row r="82" spans="1:14" x14ac:dyDescent="0.25">
      <c r="A82" s="9" t="s">
        <v>1097</v>
      </c>
    </row>
    <row r="84" spans="1:14" x14ac:dyDescent="0.25">
      <c r="A84" s="15" t="s">
        <v>1083</v>
      </c>
    </row>
    <row r="86" spans="1:14" x14ac:dyDescent="0.25">
      <c r="B86" t="s">
        <v>821</v>
      </c>
    </row>
    <row r="87" spans="1:14" x14ac:dyDescent="0.25">
      <c r="A87" t="s">
        <v>108</v>
      </c>
      <c r="B87">
        <f>0.25*716/1000</f>
        <v>0.17899999999999999</v>
      </c>
    </row>
    <row r="96" spans="1:14" x14ac:dyDescent="0.25">
      <c r="A96" s="5" t="s">
        <v>1099</v>
      </c>
      <c r="B96" s="5"/>
      <c r="C96" s="5"/>
      <c r="D96" s="5"/>
      <c r="E96" s="5"/>
      <c r="F96" s="5"/>
      <c r="G96" s="5"/>
      <c r="H96" s="5"/>
      <c r="I96" s="5"/>
      <c r="J96" s="5"/>
      <c r="K96" s="5"/>
      <c r="L96" s="5"/>
      <c r="M96" s="5"/>
      <c r="N96" s="5"/>
    </row>
    <row r="97" spans="1:14" x14ac:dyDescent="0.25">
      <c r="A97" s="5" t="s">
        <v>1098</v>
      </c>
      <c r="B97" s="5"/>
      <c r="C97" s="5"/>
      <c r="D97" s="5"/>
      <c r="E97" s="5"/>
      <c r="F97" s="5"/>
      <c r="G97" s="5"/>
      <c r="H97" s="5"/>
      <c r="I97" s="5"/>
      <c r="J97" s="5"/>
      <c r="K97" s="5"/>
      <c r="L97" s="5"/>
      <c r="M97" s="5"/>
      <c r="N97" s="5"/>
    </row>
    <row r="98" spans="1:14" x14ac:dyDescent="0.25">
      <c r="A98" t="s">
        <v>1100</v>
      </c>
    </row>
    <row r="99" spans="1:14" x14ac:dyDescent="0.25">
      <c r="A99" t="s">
        <v>1111</v>
      </c>
    </row>
    <row r="101" spans="1:14" x14ac:dyDescent="0.25">
      <c r="A101" t="s">
        <v>427</v>
      </c>
      <c r="E101" s="15" t="s">
        <v>821</v>
      </c>
      <c r="F101" s="15"/>
      <c r="G101" s="15"/>
    </row>
    <row r="102" spans="1:14" x14ac:dyDescent="0.25">
      <c r="B102" t="s">
        <v>1112</v>
      </c>
      <c r="C102" t="s">
        <v>1113</v>
      </c>
      <c r="E102" s="15"/>
      <c r="F102" s="15" t="s">
        <v>1112</v>
      </c>
      <c r="G102" s="15" t="s">
        <v>1113</v>
      </c>
    </row>
    <row r="103" spans="1:14" x14ac:dyDescent="0.25">
      <c r="A103" t="s">
        <v>236</v>
      </c>
      <c r="B103">
        <f>AVERAGE(0.5,2)</f>
        <v>1.25</v>
      </c>
      <c r="C103">
        <f>AVERAGE(0.9,1.1)</f>
        <v>1</v>
      </c>
      <c r="E103" s="15" t="s">
        <v>236</v>
      </c>
      <c r="F103" s="15">
        <f>B103*1000</f>
        <v>1250</v>
      </c>
      <c r="G103" s="15">
        <f>C103*1000</f>
        <v>1000</v>
      </c>
    </row>
    <row r="104" spans="1:14" x14ac:dyDescent="0.25">
      <c r="A104" t="s">
        <v>1115</v>
      </c>
      <c r="C104">
        <f>AVERAGE(5,9)</f>
        <v>7</v>
      </c>
      <c r="E104" s="15" t="s">
        <v>1115</v>
      </c>
      <c r="F104" s="15">
        <f t="shared" ref="F104:F119" si="0">B104*1000</f>
        <v>0</v>
      </c>
      <c r="G104" s="15">
        <f t="shared" ref="G104:G119" si="1">C104*1000</f>
        <v>7000</v>
      </c>
    </row>
    <row r="105" spans="1:14" x14ac:dyDescent="0.25">
      <c r="A105" t="s">
        <v>1116</v>
      </c>
      <c r="C105">
        <f>AVERAGE(1,5)</f>
        <v>3</v>
      </c>
      <c r="E105" s="15" t="s">
        <v>1116</v>
      </c>
      <c r="F105" s="15">
        <f t="shared" si="0"/>
        <v>0</v>
      </c>
      <c r="G105" s="15">
        <f t="shared" si="1"/>
        <v>3000</v>
      </c>
    </row>
    <row r="106" spans="1:14" x14ac:dyDescent="0.25">
      <c r="A106" t="s">
        <v>642</v>
      </c>
      <c r="B106">
        <f>AVERAGE(10,20)</f>
        <v>15</v>
      </c>
      <c r="C106">
        <f>AVERAGE(10,20)</f>
        <v>15</v>
      </c>
      <c r="E106" s="15" t="s">
        <v>642</v>
      </c>
      <c r="F106" s="15">
        <f t="shared" si="0"/>
        <v>15000</v>
      </c>
      <c r="G106" s="15">
        <f t="shared" si="1"/>
        <v>15000</v>
      </c>
    </row>
    <row r="107" spans="1:14" x14ac:dyDescent="0.25">
      <c r="A107" t="s">
        <v>629</v>
      </c>
      <c r="B107">
        <f>AVERAGE(0.5,3)</f>
        <v>1.75</v>
      </c>
      <c r="C107">
        <f>AVERAGE(3,7)</f>
        <v>5</v>
      </c>
      <c r="E107" s="15" t="s">
        <v>629</v>
      </c>
      <c r="F107" s="15">
        <f t="shared" si="0"/>
        <v>1750</v>
      </c>
      <c r="G107" s="15">
        <f t="shared" si="1"/>
        <v>5000</v>
      </c>
    </row>
    <row r="108" spans="1:14" x14ac:dyDescent="0.25">
      <c r="A108" t="s">
        <v>0</v>
      </c>
      <c r="C108">
        <f>AVERAGE(3,8)</f>
        <v>5.5</v>
      </c>
      <c r="E108" s="15" t="s">
        <v>0</v>
      </c>
      <c r="F108" s="15">
        <f t="shared" si="0"/>
        <v>0</v>
      </c>
      <c r="G108" s="15">
        <f t="shared" si="1"/>
        <v>5500</v>
      </c>
    </row>
    <row r="109" spans="1:14" x14ac:dyDescent="0.25">
      <c r="A109" t="s">
        <v>1114</v>
      </c>
      <c r="B109">
        <f>AVERAGE(60,80)</f>
        <v>70</v>
      </c>
      <c r="C109">
        <f>AVERAGE(60,90)</f>
        <v>75</v>
      </c>
      <c r="E109" s="15" t="s">
        <v>1114</v>
      </c>
      <c r="F109" s="15">
        <f t="shared" si="0"/>
        <v>70000</v>
      </c>
      <c r="G109" s="15">
        <f t="shared" si="1"/>
        <v>75000</v>
      </c>
    </row>
    <row r="110" spans="1:14" x14ac:dyDescent="0.25">
      <c r="A110" t="s">
        <v>24</v>
      </c>
      <c r="B110">
        <f>AVERAGE(0.01,3)</f>
        <v>1.5049999999999999</v>
      </c>
      <c r="E110" s="15" t="s">
        <v>24</v>
      </c>
      <c r="F110" s="15">
        <f t="shared" si="0"/>
        <v>1505</v>
      </c>
      <c r="G110" s="15">
        <f t="shared" si="1"/>
        <v>0</v>
      </c>
    </row>
    <row r="111" spans="1:14" x14ac:dyDescent="0.25">
      <c r="A111" t="s">
        <v>630</v>
      </c>
      <c r="B111">
        <f>AVERAGE(0.01,1)</f>
        <v>0.505</v>
      </c>
      <c r="E111" s="15" t="s">
        <v>630</v>
      </c>
      <c r="F111" s="15">
        <f t="shared" si="0"/>
        <v>505</v>
      </c>
      <c r="G111" s="15">
        <f t="shared" si="1"/>
        <v>0</v>
      </c>
    </row>
    <row r="112" spans="1:14" x14ac:dyDescent="0.25">
      <c r="A112" t="s">
        <v>631</v>
      </c>
      <c r="C112">
        <v>0.02</v>
      </c>
      <c r="E112" s="15" t="s">
        <v>631</v>
      </c>
      <c r="F112" s="15">
        <f t="shared" si="0"/>
        <v>0</v>
      </c>
      <c r="G112" s="15">
        <f t="shared" si="1"/>
        <v>20</v>
      </c>
    </row>
    <row r="113" spans="1:14" x14ac:dyDescent="0.25">
      <c r="A113" t="s">
        <v>265</v>
      </c>
      <c r="B113">
        <f>AVERAGE(1,6)</f>
        <v>3.5</v>
      </c>
      <c r="C113">
        <v>1.7</v>
      </c>
      <c r="E113" s="15" t="s">
        <v>265</v>
      </c>
      <c r="F113" s="15">
        <f t="shared" si="0"/>
        <v>3500</v>
      </c>
      <c r="G113" s="15">
        <f t="shared" si="1"/>
        <v>1700</v>
      </c>
    </row>
    <row r="114" spans="1:14" x14ac:dyDescent="0.25">
      <c r="A114" t="s">
        <v>28</v>
      </c>
      <c r="C114">
        <v>5.0000000000000001E-4</v>
      </c>
      <c r="E114" s="15" t="s">
        <v>28</v>
      </c>
      <c r="F114" s="15">
        <f t="shared" si="0"/>
        <v>0</v>
      </c>
      <c r="G114" s="15">
        <f t="shared" si="1"/>
        <v>0.5</v>
      </c>
    </row>
    <row r="115" spans="1:14" x14ac:dyDescent="0.25">
      <c r="A115" t="s">
        <v>29</v>
      </c>
      <c r="C115">
        <v>5.0000000000000001E-3</v>
      </c>
      <c r="E115" s="15" t="s">
        <v>29</v>
      </c>
      <c r="F115" s="15">
        <f t="shared" si="0"/>
        <v>0</v>
      </c>
      <c r="G115" s="15">
        <f t="shared" si="1"/>
        <v>5</v>
      </c>
    </row>
    <row r="116" spans="1:14" x14ac:dyDescent="0.25">
      <c r="A116" t="s">
        <v>1117</v>
      </c>
      <c r="C116">
        <f>AVERAGE(0.5,2.5)</f>
        <v>1.5</v>
      </c>
      <c r="E116" s="15" t="s">
        <v>1117</v>
      </c>
      <c r="F116" s="15">
        <f t="shared" si="0"/>
        <v>0</v>
      </c>
      <c r="G116" s="15">
        <f t="shared" si="1"/>
        <v>1500</v>
      </c>
    </row>
    <row r="117" spans="1:14" x14ac:dyDescent="0.25">
      <c r="A117" t="s">
        <v>36</v>
      </c>
      <c r="B117">
        <f>AVERAGE(0.1,0.4)</f>
        <v>0.25</v>
      </c>
      <c r="E117" s="15" t="s">
        <v>36</v>
      </c>
      <c r="F117" s="15">
        <f t="shared" si="0"/>
        <v>250</v>
      </c>
      <c r="G117" s="15">
        <f t="shared" si="1"/>
        <v>0</v>
      </c>
    </row>
    <row r="118" spans="1:14" x14ac:dyDescent="0.25">
      <c r="A118" t="s">
        <v>883</v>
      </c>
      <c r="B118">
        <f>AVERAGE(0.1,3)</f>
        <v>1.55</v>
      </c>
      <c r="E118" s="15" t="s">
        <v>883</v>
      </c>
      <c r="F118" s="15">
        <f t="shared" si="0"/>
        <v>1550</v>
      </c>
      <c r="G118" s="15">
        <f t="shared" si="1"/>
        <v>0</v>
      </c>
    </row>
    <row r="119" spans="1:14" x14ac:dyDescent="0.25">
      <c r="A119" t="s">
        <v>632</v>
      </c>
      <c r="B119">
        <f>AVERAGE(0.01,1)</f>
        <v>0.505</v>
      </c>
      <c r="C119">
        <v>2.2999999999999998</v>
      </c>
      <c r="E119" s="15" t="s">
        <v>632</v>
      </c>
      <c r="F119" s="15">
        <f t="shared" si="0"/>
        <v>505</v>
      </c>
      <c r="G119" s="15">
        <f t="shared" si="1"/>
        <v>2300</v>
      </c>
    </row>
    <row r="125" spans="1:14" x14ac:dyDescent="0.25">
      <c r="A125" s="5" t="s">
        <v>1119</v>
      </c>
      <c r="B125" s="5"/>
      <c r="C125" s="5"/>
      <c r="D125" s="5"/>
      <c r="E125" s="5"/>
      <c r="F125" s="5"/>
      <c r="G125" s="5"/>
      <c r="H125" s="5"/>
      <c r="I125" s="5"/>
      <c r="J125" s="5"/>
      <c r="K125" s="5"/>
      <c r="L125" s="5"/>
      <c r="M125" s="5"/>
      <c r="N125" s="5"/>
    </row>
    <row r="126" spans="1:14" x14ac:dyDescent="0.25">
      <c r="A126" s="5" t="s">
        <v>1118</v>
      </c>
      <c r="B126" s="5"/>
      <c r="C126" s="5"/>
      <c r="D126" s="5"/>
      <c r="E126" s="5"/>
      <c r="F126" s="5"/>
      <c r="G126" s="5"/>
      <c r="H126" s="5"/>
      <c r="I126" s="5"/>
      <c r="J126" s="5"/>
      <c r="K126" s="5"/>
      <c r="L126" s="5"/>
      <c r="M126" s="5"/>
      <c r="N126" s="5"/>
    </row>
    <row r="127" spans="1:14" x14ac:dyDescent="0.25">
      <c r="A127" s="18" t="s">
        <v>1120</v>
      </c>
    </row>
    <row r="128" spans="1:14" x14ac:dyDescent="0.25">
      <c r="A128" t="s">
        <v>1123</v>
      </c>
    </row>
    <row r="130" spans="1:14" x14ac:dyDescent="0.25">
      <c r="A130" s="15" t="s">
        <v>1083</v>
      </c>
    </row>
    <row r="132" spans="1:14" x14ac:dyDescent="0.25">
      <c r="B132" t="s">
        <v>821</v>
      </c>
      <c r="E132">
        <v>0.65</v>
      </c>
      <c r="F132" t="s">
        <v>1121</v>
      </c>
    </row>
    <row r="133" spans="1:14" x14ac:dyDescent="0.25">
      <c r="A133" t="s">
        <v>108</v>
      </c>
      <c r="B133">
        <f>E133/E132</f>
        <v>0.92307692307692302</v>
      </c>
      <c r="E133">
        <v>0.6</v>
      </c>
      <c r="F133" t="s">
        <v>1122</v>
      </c>
    </row>
    <row r="141" spans="1:14" x14ac:dyDescent="0.25">
      <c r="A141" s="6" t="s">
        <v>1124</v>
      </c>
      <c r="B141" s="6"/>
      <c r="C141" s="6"/>
      <c r="D141" s="6"/>
      <c r="E141" s="6"/>
      <c r="F141" s="6"/>
      <c r="G141" s="6"/>
      <c r="H141" s="6"/>
      <c r="I141" s="6"/>
      <c r="J141" s="6"/>
      <c r="K141" s="6"/>
      <c r="L141" s="6"/>
      <c r="M141" s="6"/>
      <c r="N141" s="6"/>
    </row>
    <row r="142" spans="1:14" x14ac:dyDescent="0.25">
      <c r="A142" s="6" t="s">
        <v>1125</v>
      </c>
      <c r="B142" s="6"/>
      <c r="C142" s="6"/>
      <c r="D142" s="6"/>
      <c r="E142" s="6"/>
      <c r="F142" s="6"/>
      <c r="G142" s="6"/>
      <c r="H142" s="6"/>
      <c r="I142" s="6"/>
      <c r="J142" s="6"/>
      <c r="K142" s="6"/>
      <c r="L142" s="6"/>
      <c r="M142" s="6"/>
      <c r="N142" s="6"/>
    </row>
    <row r="143" spans="1:14" x14ac:dyDescent="0.25">
      <c r="A143" s="18" t="s">
        <v>1126</v>
      </c>
    </row>
    <row r="145" spans="1:14" x14ac:dyDescent="0.25">
      <c r="A145" t="s">
        <v>1127</v>
      </c>
    </row>
    <row r="156" spans="1:14" x14ac:dyDescent="0.25">
      <c r="A156" s="6" t="s">
        <v>1129</v>
      </c>
      <c r="B156" s="6"/>
      <c r="C156" s="6"/>
      <c r="D156" s="6"/>
      <c r="E156" s="6"/>
      <c r="F156" s="6"/>
      <c r="G156" s="6"/>
      <c r="H156" s="6"/>
      <c r="I156" s="6"/>
      <c r="J156" s="6"/>
      <c r="K156" s="6"/>
      <c r="L156" s="6"/>
      <c r="M156" s="6"/>
      <c r="N156" s="6"/>
    </row>
    <row r="157" spans="1:14" x14ac:dyDescent="0.25">
      <c r="A157" s="6" t="s">
        <v>1128</v>
      </c>
      <c r="B157" s="6"/>
      <c r="C157" s="6"/>
      <c r="D157" s="6"/>
      <c r="E157" s="6"/>
      <c r="F157" s="6"/>
      <c r="G157" s="6"/>
      <c r="H157" s="6"/>
      <c r="I157" s="6"/>
      <c r="J157" s="6"/>
      <c r="K157" s="6"/>
      <c r="L157" s="6"/>
      <c r="M157" s="6"/>
      <c r="N157" s="6"/>
    </row>
    <row r="158" spans="1:14" x14ac:dyDescent="0.25">
      <c r="A158" s="18" t="s">
        <v>1130</v>
      </c>
    </row>
    <row r="160" spans="1:14" x14ac:dyDescent="0.25">
      <c r="A160" t="s">
        <v>979</v>
      </c>
    </row>
    <row r="164" spans="1:14" x14ac:dyDescent="0.25">
      <c r="A164" s="5" t="s">
        <v>442</v>
      </c>
      <c r="B164" s="5"/>
      <c r="C164" s="5"/>
      <c r="D164" s="5"/>
      <c r="E164" s="5"/>
      <c r="F164" s="5"/>
      <c r="G164" s="5"/>
      <c r="H164" s="5"/>
      <c r="I164" s="5"/>
      <c r="J164" s="5"/>
      <c r="K164" s="5"/>
      <c r="L164" s="5"/>
      <c r="M164" s="5"/>
      <c r="N164" s="5"/>
    </row>
    <row r="165" spans="1:14" x14ac:dyDescent="0.25">
      <c r="A165" s="5" t="s">
        <v>443</v>
      </c>
      <c r="B165" s="5"/>
      <c r="C165" s="5"/>
      <c r="D165" s="5"/>
      <c r="E165" s="5"/>
      <c r="F165" s="5"/>
      <c r="G165" s="5"/>
      <c r="H165" s="5"/>
      <c r="I165" s="5"/>
      <c r="J165" s="5"/>
      <c r="K165" s="5"/>
      <c r="L165" s="5"/>
      <c r="M165" s="5"/>
      <c r="N165" s="5"/>
    </row>
    <row r="166" spans="1:14" x14ac:dyDescent="0.25">
      <c r="A166" s="18" t="s">
        <v>1131</v>
      </c>
    </row>
    <row r="167" spans="1:14" x14ac:dyDescent="0.25">
      <c r="A167" t="s">
        <v>1132</v>
      </c>
    </row>
    <row r="169" spans="1:14" x14ac:dyDescent="0.25">
      <c r="A169" t="s">
        <v>821</v>
      </c>
    </row>
    <row r="170" spans="1:14" x14ac:dyDescent="0.25">
      <c r="B170" t="s">
        <v>1112</v>
      </c>
      <c r="C170" t="s">
        <v>1083</v>
      </c>
    </row>
    <row r="171" spans="1:14" x14ac:dyDescent="0.25">
      <c r="A171" t="s">
        <v>94</v>
      </c>
      <c r="B171">
        <v>2</v>
      </c>
    </row>
    <row r="172" spans="1:14" x14ac:dyDescent="0.25">
      <c r="A172" t="s">
        <v>101</v>
      </c>
      <c r="B172">
        <v>20</v>
      </c>
    </row>
    <row r="173" spans="1:14" x14ac:dyDescent="0.25">
      <c r="A173" t="s">
        <v>95</v>
      </c>
      <c r="B173">
        <v>30</v>
      </c>
    </row>
    <row r="174" spans="1:14" x14ac:dyDescent="0.25">
      <c r="A174" t="s">
        <v>120</v>
      </c>
      <c r="B174">
        <v>40</v>
      </c>
    </row>
    <row r="175" spans="1:14" x14ac:dyDescent="0.25">
      <c r="A175" t="s">
        <v>108</v>
      </c>
      <c r="C175">
        <f>AVERAGE(0.6,0.7)</f>
        <v>0.64999999999999991</v>
      </c>
    </row>
    <row r="180" spans="1:15" x14ac:dyDescent="0.25">
      <c r="A180" s="5" t="s">
        <v>209</v>
      </c>
      <c r="B180" s="5"/>
      <c r="C180" s="5"/>
      <c r="D180" s="5"/>
      <c r="E180" s="5"/>
      <c r="F180" s="5"/>
      <c r="G180" s="5"/>
      <c r="H180" s="5"/>
      <c r="I180" s="5"/>
      <c r="J180" s="5"/>
      <c r="K180" s="5"/>
      <c r="L180" s="5"/>
      <c r="M180" s="5"/>
      <c r="N180" s="5"/>
    </row>
    <row r="181" spans="1:15" x14ac:dyDescent="0.25">
      <c r="A181" s="5" t="s">
        <v>210</v>
      </c>
      <c r="B181" s="5"/>
      <c r="C181" s="5"/>
      <c r="D181" s="5"/>
      <c r="E181" s="5"/>
      <c r="F181" s="5"/>
      <c r="G181" s="5"/>
      <c r="H181" s="5"/>
      <c r="I181" s="5"/>
      <c r="J181" s="5"/>
      <c r="K181" s="5"/>
      <c r="L181" s="5"/>
      <c r="M181" s="5"/>
      <c r="N181" s="5"/>
    </row>
    <row r="182" spans="1:15" x14ac:dyDescent="0.25">
      <c r="A182" s="18" t="s">
        <v>211</v>
      </c>
    </row>
    <row r="183" spans="1:15" x14ac:dyDescent="0.25">
      <c r="A183" t="s">
        <v>212</v>
      </c>
    </row>
    <row r="185" spans="1:15" x14ac:dyDescent="0.25">
      <c r="A185" s="15" t="s">
        <v>1083</v>
      </c>
    </row>
    <row r="187" spans="1:15" x14ac:dyDescent="0.25">
      <c r="B187" t="s">
        <v>821</v>
      </c>
    </row>
    <row r="188" spans="1:15" x14ac:dyDescent="0.25">
      <c r="A188" t="s">
        <v>108</v>
      </c>
      <c r="B188">
        <v>0.25</v>
      </c>
    </row>
    <row r="191" spans="1:15" x14ac:dyDescent="0.25">
      <c r="A191" s="5" t="s">
        <v>1134</v>
      </c>
      <c r="B191" s="5"/>
      <c r="C191" s="5"/>
      <c r="D191" s="5"/>
      <c r="E191" s="5"/>
      <c r="F191" s="5"/>
      <c r="G191" s="5"/>
      <c r="H191" s="5"/>
      <c r="I191" s="5"/>
      <c r="J191" s="5"/>
      <c r="K191" s="5"/>
      <c r="L191" s="5"/>
      <c r="M191" s="5"/>
      <c r="N191" s="5"/>
      <c r="O191" s="5"/>
    </row>
    <row r="192" spans="1:15" x14ac:dyDescent="0.25">
      <c r="A192" s="5" t="s">
        <v>1133</v>
      </c>
      <c r="B192" s="5"/>
      <c r="C192" s="5"/>
      <c r="D192" s="5"/>
      <c r="E192" s="5"/>
      <c r="F192" s="5"/>
      <c r="G192" s="5"/>
      <c r="H192" s="5"/>
      <c r="I192" s="5"/>
      <c r="J192" s="5"/>
      <c r="K192" s="5"/>
      <c r="L192" s="5"/>
      <c r="M192" s="5"/>
      <c r="N192" s="5"/>
      <c r="O192" s="5"/>
    </row>
    <row r="193" spans="1:15" x14ac:dyDescent="0.25">
      <c r="A193" s="18" t="s">
        <v>1135</v>
      </c>
    </row>
    <row r="195" spans="1:15" x14ac:dyDescent="0.25">
      <c r="A195" s="15" t="s">
        <v>1083</v>
      </c>
    </row>
    <row r="197" spans="1:15" x14ac:dyDescent="0.25">
      <c r="B197" t="s">
        <v>821</v>
      </c>
    </row>
    <row r="198" spans="1:15" x14ac:dyDescent="0.25">
      <c r="A198" t="s">
        <v>108</v>
      </c>
      <c r="B198">
        <v>0.5</v>
      </c>
    </row>
    <row r="208" spans="1:15" x14ac:dyDescent="0.25">
      <c r="A208" s="5" t="s">
        <v>696</v>
      </c>
      <c r="B208" s="5"/>
      <c r="C208" s="5"/>
      <c r="D208" s="5"/>
      <c r="E208" s="5"/>
      <c r="F208" s="5"/>
      <c r="G208" s="5"/>
      <c r="H208" s="5"/>
      <c r="I208" s="5"/>
      <c r="J208" s="5"/>
      <c r="K208" s="5"/>
      <c r="L208" s="5"/>
      <c r="M208" s="5"/>
      <c r="N208" s="5"/>
      <c r="O208" s="5"/>
    </row>
    <row r="209" spans="1:15" x14ac:dyDescent="0.25">
      <c r="A209" s="5" t="s">
        <v>697</v>
      </c>
      <c r="B209" s="5"/>
      <c r="C209" s="5"/>
      <c r="D209" s="5"/>
      <c r="E209" s="5"/>
      <c r="F209" s="5"/>
      <c r="G209" s="5"/>
      <c r="H209" s="5"/>
      <c r="I209" s="5"/>
      <c r="J209" s="5"/>
      <c r="K209" s="5"/>
      <c r="L209" s="5"/>
      <c r="M209" s="5"/>
      <c r="N209" s="5"/>
      <c r="O209" s="5"/>
    </row>
    <row r="210" spans="1:15" x14ac:dyDescent="0.25">
      <c r="A210" s="18" t="s">
        <v>700</v>
      </c>
    </row>
    <row r="213" spans="1:15" x14ac:dyDescent="0.25">
      <c r="A213" s="15" t="s">
        <v>1083</v>
      </c>
      <c r="G213" s="15"/>
    </row>
    <row r="215" spans="1:15" x14ac:dyDescent="0.25">
      <c r="B215" t="s">
        <v>821</v>
      </c>
    </row>
    <row r="216" spans="1:15" x14ac:dyDescent="0.25">
      <c r="A216" t="s">
        <v>108</v>
      </c>
      <c r="B216">
        <v>0.39</v>
      </c>
    </row>
    <row r="220" spans="1:15" x14ac:dyDescent="0.25">
      <c r="A220" s="5" t="s">
        <v>1136</v>
      </c>
      <c r="B220" s="5"/>
      <c r="C220" s="5"/>
      <c r="D220" s="5"/>
      <c r="E220" s="5"/>
      <c r="F220" s="5"/>
      <c r="G220" s="5"/>
      <c r="H220" s="5"/>
      <c r="I220" s="5"/>
      <c r="J220" s="5"/>
      <c r="K220" s="5"/>
      <c r="L220" s="5"/>
      <c r="M220" s="5"/>
      <c r="N220" s="5"/>
      <c r="O220" s="5"/>
    </row>
    <row r="221" spans="1:15" x14ac:dyDescent="0.25">
      <c r="A221" s="5" t="s">
        <v>1137</v>
      </c>
      <c r="B221" s="5"/>
      <c r="C221" s="5"/>
      <c r="D221" s="5"/>
      <c r="E221" s="5"/>
      <c r="F221" s="5"/>
      <c r="G221" s="5"/>
      <c r="H221" s="5"/>
      <c r="I221" s="5"/>
      <c r="J221" s="5"/>
      <c r="K221" s="5"/>
      <c r="L221" s="5"/>
      <c r="M221" s="5"/>
      <c r="N221" s="5"/>
      <c r="O221" s="5"/>
    </row>
    <row r="222" spans="1:15" x14ac:dyDescent="0.25">
      <c r="A222" s="18" t="s">
        <v>1138</v>
      </c>
    </row>
    <row r="223" spans="1:15" x14ac:dyDescent="0.25">
      <c r="A223" t="s">
        <v>718</v>
      </c>
    </row>
    <row r="225" spans="1:15" x14ac:dyDescent="0.25">
      <c r="A225" s="15" t="s">
        <v>1083</v>
      </c>
    </row>
    <row r="227" spans="1:15" x14ac:dyDescent="0.25">
      <c r="B227" t="s">
        <v>821</v>
      </c>
    </row>
    <row r="228" spans="1:15" x14ac:dyDescent="0.25">
      <c r="A228" t="s">
        <v>108</v>
      </c>
      <c r="B228">
        <v>0.25</v>
      </c>
    </row>
    <row r="233" spans="1:15" x14ac:dyDescent="0.25">
      <c r="A233" s="5" t="s">
        <v>1139</v>
      </c>
      <c r="B233" s="5"/>
      <c r="C233" s="5"/>
      <c r="D233" s="5"/>
      <c r="E233" s="5"/>
      <c r="F233" s="5"/>
      <c r="G233" s="5"/>
      <c r="H233" s="5"/>
      <c r="I233" s="5"/>
      <c r="J233" s="5"/>
      <c r="K233" s="5"/>
      <c r="L233" s="5"/>
      <c r="M233" s="5"/>
      <c r="N233" s="5"/>
      <c r="O233" s="5"/>
    </row>
    <row r="234" spans="1:15" x14ac:dyDescent="0.25">
      <c r="A234" s="5" t="s">
        <v>1140</v>
      </c>
      <c r="B234" s="5"/>
      <c r="C234" s="5"/>
      <c r="D234" s="5"/>
      <c r="E234" s="5"/>
      <c r="F234" s="5"/>
      <c r="G234" s="5"/>
      <c r="H234" s="5"/>
      <c r="I234" s="5"/>
      <c r="J234" s="5"/>
      <c r="K234" s="5"/>
      <c r="L234" s="5"/>
      <c r="M234" s="5"/>
      <c r="N234" s="5"/>
      <c r="O234" s="5"/>
    </row>
    <row r="235" spans="1:15" x14ac:dyDescent="0.25">
      <c r="A235" s="18" t="s">
        <v>1141</v>
      </c>
    </row>
    <row r="236" spans="1:15" x14ac:dyDescent="0.25">
      <c r="A236" t="s">
        <v>1142</v>
      </c>
    </row>
    <row r="239" spans="1:15" x14ac:dyDescent="0.25">
      <c r="A239" s="15" t="s">
        <v>1113</v>
      </c>
    </row>
    <row r="240" spans="1:15" x14ac:dyDescent="0.25">
      <c r="D240" t="s">
        <v>1122</v>
      </c>
      <c r="E240">
        <f>0.1+0.5</f>
        <v>0.6</v>
      </c>
    </row>
    <row r="241" spans="1:12" x14ac:dyDescent="0.25">
      <c r="B241" t="s">
        <v>821</v>
      </c>
      <c r="D241" t="s">
        <v>1143</v>
      </c>
      <c r="E241">
        <v>1.4</v>
      </c>
    </row>
    <row r="242" spans="1:12" x14ac:dyDescent="0.25">
      <c r="A242" t="s">
        <v>108</v>
      </c>
      <c r="B242">
        <f>E240*10000/E241/1000</f>
        <v>4.2857142857142865</v>
      </c>
    </row>
    <row r="256" spans="1:12" x14ac:dyDescent="0.25">
      <c r="A256" s="5" t="s">
        <v>986</v>
      </c>
      <c r="B256" s="5"/>
      <c r="C256" s="5"/>
      <c r="D256" s="5"/>
      <c r="E256" s="5"/>
      <c r="F256" s="5"/>
      <c r="G256" s="5"/>
      <c r="H256" s="5"/>
      <c r="I256" s="5"/>
      <c r="J256" s="5"/>
      <c r="K256" s="5"/>
      <c r="L256" s="5"/>
    </row>
    <row r="257" spans="1:12" x14ac:dyDescent="0.25">
      <c r="A257" s="5" t="s">
        <v>987</v>
      </c>
      <c r="B257" s="5"/>
      <c r="C257" s="5"/>
      <c r="D257" s="5"/>
      <c r="E257" s="5"/>
      <c r="F257" s="5"/>
      <c r="G257" s="5"/>
      <c r="H257" s="5"/>
      <c r="I257" s="5"/>
      <c r="J257" s="5"/>
      <c r="K257" s="5"/>
      <c r="L257" s="5"/>
    </row>
    <row r="258" spans="1:12" x14ac:dyDescent="0.25">
      <c r="A258" s="18" t="s">
        <v>990</v>
      </c>
    </row>
    <row r="259" spans="1:12" x14ac:dyDescent="0.25">
      <c r="A259" t="s">
        <v>1144</v>
      </c>
    </row>
    <row r="261" spans="1:12" x14ac:dyDescent="0.25">
      <c r="A261" t="s">
        <v>821</v>
      </c>
    </row>
    <row r="262" spans="1:12" x14ac:dyDescent="0.25">
      <c r="B262" t="s">
        <v>1083</v>
      </c>
      <c r="C262" t="s">
        <v>1112</v>
      </c>
    </row>
    <row r="263" spans="1:12" x14ac:dyDescent="0.25">
      <c r="A263" t="s">
        <v>108</v>
      </c>
      <c r="B263">
        <v>0.5</v>
      </c>
    </row>
    <row r="264" spans="1:12" x14ac:dyDescent="0.25">
      <c r="A264" t="s">
        <v>1145</v>
      </c>
      <c r="C264">
        <v>23</v>
      </c>
    </row>
    <row r="265" spans="1:12" x14ac:dyDescent="0.25">
      <c r="A265" t="s">
        <v>94</v>
      </c>
      <c r="C265">
        <v>51</v>
      </c>
    </row>
    <row r="266" spans="1:12" x14ac:dyDescent="0.25">
      <c r="A266" t="s">
        <v>101</v>
      </c>
      <c r="C266">
        <v>213</v>
      </c>
    </row>
    <row r="267" spans="1:12" x14ac:dyDescent="0.25">
      <c r="A267" t="s">
        <v>121</v>
      </c>
      <c r="C267">
        <v>400</v>
      </c>
    </row>
    <row r="268" spans="1:12" x14ac:dyDescent="0.25">
      <c r="A268" t="s">
        <v>97</v>
      </c>
      <c r="C268">
        <v>13</v>
      </c>
    </row>
    <row r="269" spans="1:12" x14ac:dyDescent="0.25">
      <c r="A269" t="s">
        <v>120</v>
      </c>
      <c r="C269">
        <v>14</v>
      </c>
    </row>
    <row r="270" spans="1:12" x14ac:dyDescent="0.25">
      <c r="A270" t="s">
        <v>348</v>
      </c>
      <c r="C270">
        <v>50000</v>
      </c>
    </row>
    <row r="271" spans="1:12" x14ac:dyDescent="0.25">
      <c r="A271" t="s">
        <v>349</v>
      </c>
      <c r="C271">
        <v>15000</v>
      </c>
    </row>
    <row r="276" spans="1:12" x14ac:dyDescent="0.25">
      <c r="A276" s="5" t="s">
        <v>586</v>
      </c>
      <c r="B276" s="5"/>
      <c r="C276" s="5"/>
      <c r="D276" s="5"/>
      <c r="E276" s="5"/>
      <c r="F276" s="5"/>
      <c r="G276" s="5"/>
      <c r="H276" s="5"/>
      <c r="I276" s="5"/>
      <c r="J276" s="5"/>
      <c r="K276" s="5"/>
      <c r="L276" s="5"/>
    </row>
    <row r="277" spans="1:12" x14ac:dyDescent="0.25">
      <c r="A277" s="5" t="s">
        <v>585</v>
      </c>
      <c r="B277" s="5"/>
      <c r="C277" s="5"/>
      <c r="D277" s="5"/>
      <c r="E277" s="5"/>
      <c r="F277" s="5"/>
      <c r="G277" s="5"/>
      <c r="H277" s="5"/>
      <c r="I277" s="5"/>
      <c r="J277" s="5"/>
      <c r="K277" s="5"/>
      <c r="L277" s="5"/>
    </row>
    <row r="278" spans="1:12" x14ac:dyDescent="0.25">
      <c r="A278" s="18" t="s">
        <v>824</v>
      </c>
    </row>
    <row r="279" spans="1:12" x14ac:dyDescent="0.25">
      <c r="A279" t="s">
        <v>1147</v>
      </c>
    </row>
    <row r="281" spans="1:12" x14ac:dyDescent="0.25">
      <c r="A281" t="s">
        <v>821</v>
      </c>
    </row>
    <row r="282" spans="1:12" x14ac:dyDescent="0.25">
      <c r="B282" t="s">
        <v>1146</v>
      </c>
      <c r="C282" t="s">
        <v>1083</v>
      </c>
    </row>
    <row r="283" spans="1:12" x14ac:dyDescent="0.25">
      <c r="A283" t="s">
        <v>108</v>
      </c>
      <c r="C283">
        <f>AVERAGE(0.1,1)</f>
        <v>0.55000000000000004</v>
      </c>
    </row>
    <row r="284" spans="1:12" x14ac:dyDescent="0.25">
      <c r="A284" t="s">
        <v>120</v>
      </c>
      <c r="B284">
        <f>AVERAGE(20,200)</f>
        <v>110</v>
      </c>
    </row>
    <row r="289" spans="1:12" x14ac:dyDescent="0.25">
      <c r="A289" s="6" t="s">
        <v>410</v>
      </c>
      <c r="B289" s="6"/>
      <c r="C289" s="6"/>
      <c r="D289" s="6"/>
      <c r="E289" s="6"/>
      <c r="F289" s="6"/>
      <c r="G289" s="6"/>
      <c r="H289" s="6"/>
      <c r="I289" s="6"/>
      <c r="J289" s="6"/>
      <c r="K289" s="6"/>
      <c r="L289" s="6"/>
    </row>
    <row r="290" spans="1:12" x14ac:dyDescent="0.25">
      <c r="A290" s="6" t="s">
        <v>411</v>
      </c>
      <c r="B290" s="6"/>
      <c r="C290" s="6"/>
      <c r="D290" s="6"/>
      <c r="E290" s="6"/>
      <c r="F290" s="6"/>
      <c r="G290" s="6"/>
      <c r="H290" s="6"/>
      <c r="I290" s="6"/>
      <c r="J290" s="6"/>
      <c r="K290" s="6"/>
      <c r="L290" s="6"/>
    </row>
    <row r="291" spans="1:12" x14ac:dyDescent="0.25">
      <c r="A291" s="18" t="s">
        <v>416</v>
      </c>
    </row>
    <row r="292" spans="1:12" x14ac:dyDescent="0.25">
      <c r="A292" t="s">
        <v>1148</v>
      </c>
    </row>
    <row r="294" spans="1:12" x14ac:dyDescent="0.25">
      <c r="A294" t="s">
        <v>1344</v>
      </c>
    </row>
    <row r="296" spans="1:12" x14ac:dyDescent="0.25">
      <c r="A296" t="s">
        <v>821</v>
      </c>
      <c r="C296" t="s">
        <v>1343</v>
      </c>
    </row>
    <row r="297" spans="1:12" x14ac:dyDescent="0.25">
      <c r="B297" t="s">
        <v>1112</v>
      </c>
      <c r="C297" s="6" t="s">
        <v>1083</v>
      </c>
      <c r="D297" t="s">
        <v>1149</v>
      </c>
    </row>
    <row r="298" spans="1:12" x14ac:dyDescent="0.25">
      <c r="A298" t="s">
        <v>108</v>
      </c>
      <c r="C298" s="6">
        <v>67.900000000000006</v>
      </c>
      <c r="D298">
        <v>67.900000000000006</v>
      </c>
    </row>
    <row r="299" spans="1:12" x14ac:dyDescent="0.25">
      <c r="A299" t="s">
        <v>111</v>
      </c>
      <c r="C299" s="6"/>
      <c r="D299">
        <v>22</v>
      </c>
    </row>
    <row r="300" spans="1:12" x14ac:dyDescent="0.25">
      <c r="A300" t="s">
        <v>349</v>
      </c>
      <c r="C300" s="6">
        <v>48323.199999999997</v>
      </c>
    </row>
    <row r="301" spans="1:12" x14ac:dyDescent="0.25">
      <c r="A301" t="s">
        <v>352</v>
      </c>
    </row>
    <row r="302" spans="1:12" x14ac:dyDescent="0.25">
      <c r="A302" t="s">
        <v>120</v>
      </c>
      <c r="B302">
        <v>8.4</v>
      </c>
    </row>
    <row r="303" spans="1:12" x14ac:dyDescent="0.25">
      <c r="A303" t="s">
        <v>101</v>
      </c>
      <c r="B303">
        <v>38</v>
      </c>
    </row>
    <row r="304" spans="1:12" x14ac:dyDescent="0.25">
      <c r="A304" t="s">
        <v>98</v>
      </c>
      <c r="B304">
        <v>8</v>
      </c>
    </row>
    <row r="305" spans="1:12" x14ac:dyDescent="0.25">
      <c r="A305" t="s">
        <v>113</v>
      </c>
      <c r="B305">
        <v>1.2</v>
      </c>
    </row>
    <row r="306" spans="1:12" x14ac:dyDescent="0.25">
      <c r="A306" t="s">
        <v>94</v>
      </c>
      <c r="B306">
        <v>1.2</v>
      </c>
    </row>
    <row r="307" spans="1:12" x14ac:dyDescent="0.25">
      <c r="A307" t="s">
        <v>95</v>
      </c>
      <c r="B307">
        <v>10.8</v>
      </c>
    </row>
    <row r="320" spans="1:12" x14ac:dyDescent="0.25">
      <c r="A320" s="108" t="s">
        <v>1151</v>
      </c>
      <c r="B320" s="108"/>
      <c r="C320" s="108"/>
      <c r="D320" s="108"/>
      <c r="E320" s="108"/>
      <c r="F320" s="108"/>
      <c r="G320" s="108"/>
      <c r="H320" s="108"/>
      <c r="I320" s="108"/>
      <c r="J320" s="108"/>
      <c r="K320" s="108"/>
      <c r="L320" s="108"/>
    </row>
    <row r="321" spans="1:12" x14ac:dyDescent="0.25">
      <c r="A321" s="108" t="s">
        <v>1150</v>
      </c>
      <c r="B321" s="108"/>
      <c r="C321" s="108"/>
      <c r="D321" s="108"/>
      <c r="E321" s="108"/>
      <c r="F321" s="108"/>
      <c r="G321" s="108"/>
      <c r="H321" s="108"/>
      <c r="I321" s="108"/>
      <c r="J321" s="108"/>
      <c r="K321" s="108"/>
      <c r="L321" s="108"/>
    </row>
    <row r="322" spans="1:12" x14ac:dyDescent="0.25">
      <c r="A322" s="18" t="s">
        <v>1152</v>
      </c>
    </row>
    <row r="323" spans="1:12" x14ac:dyDescent="0.25">
      <c r="A323" t="s">
        <v>677</v>
      </c>
    </row>
    <row r="325" spans="1:12" x14ac:dyDescent="0.25">
      <c r="A325" s="15" t="s">
        <v>1113</v>
      </c>
      <c r="B325" t="s">
        <v>1153</v>
      </c>
    </row>
    <row r="326" spans="1:12" x14ac:dyDescent="0.25">
      <c r="F326" t="s">
        <v>632</v>
      </c>
      <c r="G326">
        <v>65.38</v>
      </c>
    </row>
    <row r="327" spans="1:12" x14ac:dyDescent="0.25">
      <c r="B327" t="s">
        <v>227</v>
      </c>
      <c r="C327" t="s">
        <v>821</v>
      </c>
      <c r="F327" t="s">
        <v>1236</v>
      </c>
      <c r="G327">
        <v>16</v>
      </c>
    </row>
    <row r="328" spans="1:12" x14ac:dyDescent="0.25">
      <c r="A328" t="s">
        <v>1154</v>
      </c>
      <c r="B328">
        <v>863</v>
      </c>
      <c r="C328">
        <f>B328/0.2</f>
        <v>4315</v>
      </c>
    </row>
    <row r="329" spans="1:12" x14ac:dyDescent="0.25">
      <c r="A329" t="s">
        <v>632</v>
      </c>
      <c r="B329">
        <v>453</v>
      </c>
      <c r="C329">
        <f>B329/0.2+B330/0.2*G326/(G326+G327)</f>
        <v>4538.5979356107146</v>
      </c>
    </row>
    <row r="330" spans="1:12" x14ac:dyDescent="0.25">
      <c r="A330" t="s">
        <v>1155</v>
      </c>
      <c r="B330">
        <v>566</v>
      </c>
      <c r="C330">
        <f>B330/0.2*G326/(G326+G327)</f>
        <v>2273.597935610715</v>
      </c>
    </row>
    <row r="331" spans="1:12" x14ac:dyDescent="0.25">
      <c r="A331" t="s">
        <v>236</v>
      </c>
      <c r="B331">
        <v>215</v>
      </c>
      <c r="C331">
        <f t="shared" ref="C331:C333" si="2">B331/0.2</f>
        <v>1075</v>
      </c>
    </row>
    <row r="332" spans="1:12" x14ac:dyDescent="0.25">
      <c r="A332" t="s">
        <v>29</v>
      </c>
      <c r="B332">
        <f>1.53+0.0538+0.0088</f>
        <v>1.5926</v>
      </c>
      <c r="C332">
        <f t="shared" si="2"/>
        <v>7.9630000000000001</v>
      </c>
    </row>
    <row r="333" spans="1:12" x14ac:dyDescent="0.25">
      <c r="A333" t="s">
        <v>24</v>
      </c>
      <c r="B333">
        <v>2.2200000000000002</v>
      </c>
      <c r="C333">
        <f t="shared" si="2"/>
        <v>11.1</v>
      </c>
    </row>
    <row r="342" spans="1:12" x14ac:dyDescent="0.25">
      <c r="A342" s="6" t="s">
        <v>1157</v>
      </c>
      <c r="B342" s="6"/>
      <c r="C342" s="6"/>
      <c r="D342" s="6"/>
      <c r="E342" s="6"/>
      <c r="F342" s="6"/>
      <c r="G342" s="6"/>
      <c r="H342" s="6"/>
      <c r="I342" s="6"/>
      <c r="J342" s="6"/>
      <c r="K342" s="6"/>
      <c r="L342" s="6"/>
    </row>
    <row r="343" spans="1:12" x14ac:dyDescent="0.25">
      <c r="A343" s="6" t="s">
        <v>1156</v>
      </c>
      <c r="B343" s="6"/>
      <c r="C343" s="6"/>
      <c r="D343" s="6"/>
      <c r="E343" s="6"/>
      <c r="F343" s="6"/>
      <c r="G343" s="6"/>
      <c r="H343" s="6"/>
      <c r="I343" s="6"/>
      <c r="J343" s="6"/>
      <c r="K343" s="6"/>
      <c r="L343" s="6"/>
    </row>
    <row r="344" spans="1:12" x14ac:dyDescent="0.25">
      <c r="A344" s="18" t="s">
        <v>1158</v>
      </c>
    </row>
    <row r="345" spans="1:12" x14ac:dyDescent="0.25">
      <c r="A345" t="s">
        <v>575</v>
      </c>
    </row>
    <row r="348" spans="1:12" x14ac:dyDescent="0.25">
      <c r="B348" t="s">
        <v>1122</v>
      </c>
      <c r="C348" t="s">
        <v>821</v>
      </c>
      <c r="E348" t="s">
        <v>1143</v>
      </c>
    </row>
    <row r="349" spans="1:12" x14ac:dyDescent="0.25">
      <c r="A349" t="s">
        <v>108</v>
      </c>
      <c r="B349">
        <v>0.75</v>
      </c>
      <c r="C349">
        <f>B349/1000*10000/E349</f>
        <v>5.3571428571428577</v>
      </c>
      <c r="E349">
        <f>E241</f>
        <v>1.4</v>
      </c>
    </row>
    <row r="353" spans="1:12" x14ac:dyDescent="0.25">
      <c r="A353" s="15" t="s">
        <v>1345</v>
      </c>
    </row>
    <row r="361" spans="1:12" x14ac:dyDescent="0.25">
      <c r="A361" s="5" t="s">
        <v>1160</v>
      </c>
      <c r="B361" s="5"/>
      <c r="C361" s="5"/>
      <c r="D361" s="5"/>
      <c r="E361" s="5"/>
      <c r="F361" s="5"/>
      <c r="G361" s="5"/>
      <c r="H361" s="5"/>
      <c r="I361" s="5"/>
      <c r="J361" s="5"/>
      <c r="K361" s="5"/>
      <c r="L361" s="5"/>
    </row>
    <row r="362" spans="1:12" x14ac:dyDescent="0.25">
      <c r="A362" s="5" t="s">
        <v>1159</v>
      </c>
      <c r="B362" s="5"/>
      <c r="C362" s="5"/>
      <c r="D362" s="5"/>
      <c r="E362" s="5"/>
      <c r="F362" s="5"/>
      <c r="G362" s="5"/>
      <c r="H362" s="5"/>
      <c r="I362" s="5"/>
      <c r="J362" s="5"/>
      <c r="K362" s="5"/>
      <c r="L362" s="5"/>
    </row>
    <row r="363" spans="1:12" x14ac:dyDescent="0.25">
      <c r="A363" s="18" t="s">
        <v>1161</v>
      </c>
    </row>
    <row r="364" spans="1:12" x14ac:dyDescent="0.25">
      <c r="A364" t="s">
        <v>1162</v>
      </c>
    </row>
    <row r="366" spans="1:12" x14ac:dyDescent="0.25">
      <c r="A366" s="15" t="s">
        <v>1083</v>
      </c>
    </row>
    <row r="368" spans="1:12" x14ac:dyDescent="0.25">
      <c r="B368" t="s">
        <v>1163</v>
      </c>
      <c r="C368" t="s">
        <v>1143</v>
      </c>
      <c r="D368" s="15" t="s">
        <v>821</v>
      </c>
    </row>
    <row r="369" spans="1:12" x14ac:dyDescent="0.25">
      <c r="A369" t="s">
        <v>108</v>
      </c>
      <c r="B369">
        <v>1.8</v>
      </c>
      <c r="C369">
        <v>3</v>
      </c>
      <c r="D369" s="15">
        <f>B369/C369</f>
        <v>0.6</v>
      </c>
    </row>
    <row r="373" spans="1:12" x14ac:dyDescent="0.25">
      <c r="A373" s="6" t="s">
        <v>1165</v>
      </c>
      <c r="B373" s="6"/>
      <c r="C373" s="6"/>
      <c r="D373" s="6"/>
      <c r="E373" s="6"/>
      <c r="F373" s="6"/>
      <c r="G373" s="6"/>
      <c r="H373" s="6"/>
      <c r="I373" s="6"/>
      <c r="J373" s="6"/>
      <c r="K373" s="6"/>
      <c r="L373" s="6"/>
    </row>
    <row r="374" spans="1:12" x14ac:dyDescent="0.25">
      <c r="A374" s="6" t="s">
        <v>1164</v>
      </c>
      <c r="B374" s="6"/>
      <c r="C374" s="6"/>
      <c r="D374" s="6"/>
      <c r="E374" s="6"/>
      <c r="F374" s="6"/>
      <c r="G374" s="6"/>
      <c r="H374" s="6"/>
      <c r="I374" s="6"/>
      <c r="J374" s="6"/>
      <c r="K374" s="6"/>
      <c r="L374" s="6"/>
    </row>
    <row r="375" spans="1:12" x14ac:dyDescent="0.25">
      <c r="A375" s="18" t="s">
        <v>1166</v>
      </c>
    </row>
    <row r="376" spans="1:12" x14ac:dyDescent="0.25">
      <c r="A376" t="s">
        <v>718</v>
      </c>
    </row>
    <row r="379" spans="1:12" x14ac:dyDescent="0.25">
      <c r="A379" t="s">
        <v>1167</v>
      </c>
    </row>
    <row r="387" spans="1:12" x14ac:dyDescent="0.25">
      <c r="A387" s="5" t="s">
        <v>1024</v>
      </c>
      <c r="B387" s="5"/>
      <c r="C387" s="5"/>
      <c r="D387" s="5"/>
      <c r="E387" s="5"/>
      <c r="F387" s="5"/>
      <c r="G387" s="5"/>
      <c r="H387" s="5"/>
      <c r="I387" s="5"/>
      <c r="J387" s="5"/>
      <c r="K387" s="5"/>
      <c r="L387" s="5"/>
    </row>
    <row r="388" spans="1:12" x14ac:dyDescent="0.25">
      <c r="A388" s="5" t="s">
        <v>1023</v>
      </c>
      <c r="B388" s="5"/>
      <c r="C388" s="5"/>
      <c r="D388" s="5"/>
      <c r="E388" s="5"/>
      <c r="F388" s="5"/>
      <c r="G388" s="5"/>
      <c r="H388" s="5"/>
      <c r="I388" s="5"/>
      <c r="J388" s="5"/>
      <c r="K388" s="5"/>
      <c r="L388" s="5"/>
    </row>
    <row r="389" spans="1:12" x14ac:dyDescent="0.25">
      <c r="A389" s="18" t="s">
        <v>1168</v>
      </c>
    </row>
    <row r="390" spans="1:12" x14ac:dyDescent="0.25">
      <c r="A390" t="s">
        <v>1169</v>
      </c>
    </row>
    <row r="392" spans="1:12" x14ac:dyDescent="0.25">
      <c r="A392" t="s">
        <v>1170</v>
      </c>
    </row>
    <row r="394" spans="1:12" x14ac:dyDescent="0.25">
      <c r="A394" s="15" t="s">
        <v>1083</v>
      </c>
    </row>
    <row r="396" spans="1:12" x14ac:dyDescent="0.25">
      <c r="B396" t="s">
        <v>821</v>
      </c>
    </row>
    <row r="397" spans="1:12" x14ac:dyDescent="0.25">
      <c r="A397" t="s">
        <v>108</v>
      </c>
      <c r="B397">
        <v>0.5</v>
      </c>
    </row>
    <row r="416" spans="1:12" x14ac:dyDescent="0.25">
      <c r="A416" s="5" t="s">
        <v>1171</v>
      </c>
      <c r="B416" s="5"/>
      <c r="C416" s="5"/>
      <c r="D416" s="5"/>
      <c r="E416" s="5"/>
      <c r="F416" s="5"/>
      <c r="G416" s="5"/>
      <c r="H416" s="5"/>
      <c r="I416" s="5"/>
      <c r="J416" s="5"/>
      <c r="K416" s="5"/>
      <c r="L416" s="5"/>
    </row>
    <row r="417" spans="1:12" x14ac:dyDescent="0.25">
      <c r="A417" s="5" t="s">
        <v>1173</v>
      </c>
      <c r="B417" s="5"/>
      <c r="C417" s="5"/>
      <c r="D417" s="5"/>
      <c r="E417" s="5"/>
      <c r="F417" s="5"/>
      <c r="G417" s="5"/>
      <c r="H417" s="5"/>
      <c r="I417" s="5"/>
      <c r="J417" s="5"/>
      <c r="K417" s="5"/>
      <c r="L417" s="5"/>
    </row>
    <row r="418" spans="1:12" x14ac:dyDescent="0.25">
      <c r="A418" s="18" t="s">
        <v>1172</v>
      </c>
    </row>
    <row r="419" spans="1:12" x14ac:dyDescent="0.25">
      <c r="A419" t="s">
        <v>212</v>
      </c>
    </row>
    <row r="421" spans="1:12" x14ac:dyDescent="0.25">
      <c r="A421" s="15" t="s">
        <v>1083</v>
      </c>
    </row>
    <row r="423" spans="1:12" x14ac:dyDescent="0.25">
      <c r="B423" t="s">
        <v>821</v>
      </c>
    </row>
    <row r="424" spans="1:12" x14ac:dyDescent="0.25">
      <c r="A424" t="s">
        <v>108</v>
      </c>
      <c r="B424">
        <f>0.75</f>
        <v>0.75</v>
      </c>
    </row>
    <row r="425" spans="1:12" x14ac:dyDescent="0.25">
      <c r="A425" t="s">
        <v>349</v>
      </c>
      <c r="B425">
        <v>100</v>
      </c>
    </row>
    <row r="445" spans="1:12" x14ac:dyDescent="0.25">
      <c r="A445" s="6" t="s">
        <v>1175</v>
      </c>
      <c r="B445" s="6"/>
      <c r="C445" s="6"/>
      <c r="D445" s="6"/>
      <c r="E445" s="6"/>
      <c r="F445" s="6"/>
      <c r="G445" s="6"/>
      <c r="H445" s="6"/>
      <c r="I445" s="6"/>
      <c r="J445" s="6"/>
      <c r="K445" s="6"/>
      <c r="L445" s="6"/>
    </row>
    <row r="446" spans="1:12" x14ac:dyDescent="0.25">
      <c r="A446" s="6" t="s">
        <v>1174</v>
      </c>
      <c r="B446" s="6"/>
      <c r="C446" s="6"/>
      <c r="D446" s="6"/>
      <c r="E446" s="6"/>
      <c r="F446" s="6"/>
      <c r="G446" s="6"/>
      <c r="H446" s="6"/>
      <c r="I446" s="6"/>
      <c r="J446" s="6"/>
      <c r="K446" s="6"/>
      <c r="L446" s="6"/>
    </row>
    <row r="447" spans="1:12" x14ac:dyDescent="0.25">
      <c r="A447" s="18" t="s">
        <v>1176</v>
      </c>
    </row>
    <row r="448" spans="1:12" x14ac:dyDescent="0.25">
      <c r="A448" t="s">
        <v>1177</v>
      </c>
    </row>
    <row r="450" spans="1:12" x14ac:dyDescent="0.25">
      <c r="A450" s="15" t="s">
        <v>1178</v>
      </c>
    </row>
    <row r="451" spans="1:12" x14ac:dyDescent="0.25">
      <c r="A451" t="s">
        <v>1179</v>
      </c>
    </row>
    <row r="455" spans="1:12" x14ac:dyDescent="0.25">
      <c r="A455" s="6" t="s">
        <v>1180</v>
      </c>
      <c r="B455" s="6"/>
      <c r="C455" s="6"/>
      <c r="D455" s="6"/>
      <c r="E455" s="6"/>
      <c r="F455" s="6"/>
      <c r="G455" s="6"/>
      <c r="H455" s="6"/>
      <c r="I455" s="6"/>
      <c r="J455" s="6"/>
      <c r="K455" s="6"/>
      <c r="L455" s="6"/>
    </row>
    <row r="456" spans="1:12" x14ac:dyDescent="0.25">
      <c r="A456" s="6" t="s">
        <v>1182</v>
      </c>
      <c r="B456" s="6"/>
      <c r="C456" s="6"/>
      <c r="D456" s="6"/>
      <c r="E456" s="6"/>
      <c r="F456" s="6"/>
      <c r="G456" s="6"/>
      <c r="H456" s="6"/>
      <c r="I456" s="6"/>
      <c r="J456" s="6"/>
      <c r="K456" s="6"/>
      <c r="L456" s="6"/>
    </row>
    <row r="458" spans="1:12" x14ac:dyDescent="0.25">
      <c r="A458" t="s">
        <v>1181</v>
      </c>
    </row>
    <row r="461" spans="1:12" x14ac:dyDescent="0.25">
      <c r="A461" s="6" t="s">
        <v>1183</v>
      </c>
      <c r="B461" s="6"/>
      <c r="C461" s="6"/>
      <c r="D461" s="6"/>
      <c r="E461" s="6"/>
      <c r="F461" s="6"/>
      <c r="G461" s="6"/>
      <c r="H461" s="6"/>
      <c r="I461" s="6"/>
      <c r="J461" s="6"/>
      <c r="K461" s="6"/>
      <c r="L461" s="6"/>
    </row>
    <row r="462" spans="1:12" x14ac:dyDescent="0.25">
      <c r="A462" s="6" t="s">
        <v>1184</v>
      </c>
      <c r="B462" s="6"/>
      <c r="C462" s="6"/>
      <c r="D462" s="6"/>
      <c r="E462" s="6"/>
      <c r="F462" s="6"/>
      <c r="G462" s="6"/>
      <c r="H462" s="6"/>
      <c r="I462" s="6"/>
      <c r="J462" s="6"/>
      <c r="K462" s="6"/>
      <c r="L462" s="6"/>
    </row>
    <row r="464" spans="1:12" x14ac:dyDescent="0.25">
      <c r="A464" t="s">
        <v>1185</v>
      </c>
    </row>
    <row r="467" spans="1:12" x14ac:dyDescent="0.25">
      <c r="A467" s="6" t="s">
        <v>698</v>
      </c>
      <c r="B467" s="6"/>
      <c r="C467" s="6"/>
      <c r="D467" s="6"/>
      <c r="E467" s="6"/>
      <c r="F467" s="6"/>
      <c r="G467" s="6"/>
      <c r="H467" s="6"/>
      <c r="I467" s="6"/>
      <c r="J467" s="6"/>
      <c r="K467" s="6"/>
      <c r="L467" s="6"/>
    </row>
    <row r="468" spans="1:12" x14ac:dyDescent="0.25">
      <c r="A468" s="6" t="s">
        <v>699</v>
      </c>
      <c r="B468" s="6"/>
      <c r="C468" s="6"/>
      <c r="D468" s="6"/>
      <c r="E468" s="6"/>
      <c r="F468" s="6"/>
      <c r="G468" s="6"/>
      <c r="H468" s="6"/>
      <c r="I468" s="6"/>
      <c r="J468" s="6"/>
      <c r="K468" s="6"/>
      <c r="L468" s="6"/>
    </row>
    <row r="471" spans="1:12" x14ac:dyDescent="0.25">
      <c r="A471" t="s">
        <v>1186</v>
      </c>
    </row>
    <row r="475" spans="1:12" x14ac:dyDescent="0.25">
      <c r="A475" s="5" t="s">
        <v>1188</v>
      </c>
      <c r="B475" s="5"/>
      <c r="C475" s="5"/>
      <c r="D475" s="5"/>
      <c r="E475" s="5"/>
      <c r="F475" s="5"/>
      <c r="G475" s="5"/>
      <c r="H475" s="5"/>
      <c r="I475" s="5"/>
      <c r="J475" s="5"/>
      <c r="K475" s="5"/>
      <c r="L475" s="5"/>
    </row>
    <row r="476" spans="1:12" x14ac:dyDescent="0.25">
      <c r="A476" s="5" t="s">
        <v>1187</v>
      </c>
      <c r="B476" s="5"/>
      <c r="C476" s="5"/>
      <c r="D476" s="5"/>
      <c r="E476" s="5"/>
      <c r="F476" s="5"/>
      <c r="G476" s="5"/>
      <c r="H476" s="5"/>
      <c r="I476" s="5"/>
      <c r="J476" s="5"/>
      <c r="K476" s="5"/>
      <c r="L476" s="5"/>
    </row>
    <row r="477" spans="1:12" x14ac:dyDescent="0.25">
      <c r="A477" s="18" t="s">
        <v>1189</v>
      </c>
    </row>
    <row r="479" spans="1:12" x14ac:dyDescent="0.25">
      <c r="A479" s="15" t="s">
        <v>1083</v>
      </c>
    </row>
    <row r="481" spans="1:2" x14ac:dyDescent="0.25">
      <c r="A481" s="15"/>
      <c r="B481" s="15" t="s">
        <v>821</v>
      </c>
    </row>
    <row r="482" spans="1:2" x14ac:dyDescent="0.25">
      <c r="A482" s="15" t="s">
        <v>108</v>
      </c>
      <c r="B482" s="15">
        <f>20/80</f>
        <v>0.25</v>
      </c>
    </row>
  </sheetData>
  <hyperlinks>
    <hyperlink ref="A24" r:id="rId1" xr:uid="{00000000-0004-0000-0600-000000000000}"/>
    <hyperlink ref="A34" r:id="rId2" xr:uid="{00000000-0004-0000-0600-000001000000}"/>
    <hyperlink ref="A69" r:id="rId3" xr:uid="{00000000-0004-0000-0600-000002000000}"/>
    <hyperlink ref="A49" r:id="rId4" xr:uid="{00000000-0004-0000-0600-000003000000}"/>
    <hyperlink ref="A81" r:id="rId5" xr:uid="{00000000-0004-0000-0600-000004000000}"/>
    <hyperlink ref="A127" r:id="rId6" xr:uid="{00000000-0004-0000-0600-000005000000}"/>
    <hyperlink ref="A143" r:id="rId7" xr:uid="{00000000-0004-0000-0600-000006000000}"/>
    <hyperlink ref="A158" r:id="rId8" xr:uid="{00000000-0004-0000-0600-000007000000}"/>
    <hyperlink ref="A166" r:id="rId9" xr:uid="{00000000-0004-0000-0600-000008000000}"/>
    <hyperlink ref="A182" r:id="rId10" xr:uid="{00000000-0004-0000-0600-000009000000}"/>
    <hyperlink ref="A193" r:id="rId11" xr:uid="{00000000-0004-0000-0600-00000A000000}"/>
    <hyperlink ref="A210" r:id="rId12" xr:uid="{00000000-0004-0000-0600-00000B000000}"/>
    <hyperlink ref="A222" r:id="rId13" xr:uid="{00000000-0004-0000-0600-00000C000000}"/>
    <hyperlink ref="A235" r:id="rId14" xr:uid="{00000000-0004-0000-0600-00000D000000}"/>
    <hyperlink ref="A258" r:id="rId15" xr:uid="{00000000-0004-0000-0600-00000E000000}"/>
    <hyperlink ref="A278" r:id="rId16" xr:uid="{00000000-0004-0000-0600-00000F000000}"/>
    <hyperlink ref="A291" r:id="rId17" xr:uid="{00000000-0004-0000-0600-000010000000}"/>
    <hyperlink ref="A322" r:id="rId18" xr:uid="{00000000-0004-0000-0600-000011000000}"/>
    <hyperlink ref="A344" r:id="rId19" xr:uid="{00000000-0004-0000-0600-000012000000}"/>
    <hyperlink ref="A363" r:id="rId20" xr:uid="{00000000-0004-0000-0600-000013000000}"/>
    <hyperlink ref="A375" r:id="rId21" xr:uid="{00000000-0004-0000-0600-000014000000}"/>
    <hyperlink ref="A389" r:id="rId22" xr:uid="{00000000-0004-0000-0600-000015000000}"/>
    <hyperlink ref="A418" r:id="rId23" xr:uid="{00000000-0004-0000-0600-000016000000}"/>
    <hyperlink ref="A447" r:id="rId24" xr:uid="{00000000-0004-0000-0600-000017000000}"/>
    <hyperlink ref="A477" r:id="rId25" xr:uid="{00000000-0004-0000-0600-000018000000}"/>
  </hyperlinks>
  <pageMargins left="0.7" right="0.7" top="0.75" bottom="0.75" header="0.3" footer="0.3"/>
  <pageSetup paperSize="9" orientation="portrait" r:id="rId26"/>
  <drawing r:id="rId2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2" tint="-0.249977111117893"/>
  </sheetPr>
  <dimension ref="A1:W448"/>
  <sheetViews>
    <sheetView zoomScaleNormal="100" workbookViewId="0">
      <selection activeCell="C17" sqref="C17"/>
    </sheetView>
  </sheetViews>
  <sheetFormatPr defaultRowHeight="15" x14ac:dyDescent="0.25"/>
  <cols>
    <col min="1" max="1" width="16.42578125" customWidth="1"/>
    <col min="2" max="2" width="16.28515625" customWidth="1"/>
    <col min="3" max="4" width="12" bestFit="1" customWidth="1"/>
    <col min="5" max="5" width="12.42578125" customWidth="1"/>
  </cols>
  <sheetData>
    <row r="1" spans="1:14" x14ac:dyDescent="0.25">
      <c r="A1" s="5" t="s">
        <v>5</v>
      </c>
      <c r="B1" s="5"/>
      <c r="C1" s="5"/>
      <c r="D1" s="5"/>
      <c r="E1" s="5"/>
      <c r="F1" s="5"/>
      <c r="G1" s="5"/>
      <c r="H1" s="5"/>
      <c r="I1" s="5"/>
      <c r="J1" s="5"/>
      <c r="K1" s="5"/>
    </row>
    <row r="2" spans="1:14" x14ac:dyDescent="0.25">
      <c r="A2" s="4" t="s">
        <v>6</v>
      </c>
      <c r="B2" s="4"/>
      <c r="C2" s="4"/>
      <c r="D2" s="4"/>
      <c r="E2" s="4"/>
      <c r="F2" s="4"/>
      <c r="G2" s="4"/>
      <c r="H2" s="4"/>
      <c r="I2" s="4"/>
      <c r="J2" s="4"/>
      <c r="K2" s="4"/>
    </row>
    <row r="3" spans="1:14" x14ac:dyDescent="0.25">
      <c r="A3" s="7" t="s">
        <v>8</v>
      </c>
      <c r="B3" s="7"/>
      <c r="C3" s="7"/>
      <c r="D3" s="7"/>
      <c r="E3" s="7"/>
      <c r="F3" s="7"/>
      <c r="G3" s="7"/>
      <c r="H3" s="7"/>
      <c r="I3" s="7"/>
      <c r="J3" s="7"/>
      <c r="K3" s="7"/>
    </row>
    <row r="5" spans="1:14" x14ac:dyDescent="0.25">
      <c r="A5" s="5" t="s">
        <v>1191</v>
      </c>
      <c r="B5" s="5"/>
      <c r="C5" s="5"/>
      <c r="D5" s="5"/>
      <c r="E5" s="5"/>
      <c r="F5" s="5"/>
      <c r="G5" s="5"/>
      <c r="H5" s="5"/>
      <c r="I5" s="5"/>
      <c r="J5" s="5"/>
      <c r="K5" s="5"/>
      <c r="L5" s="5"/>
      <c r="M5" s="5"/>
      <c r="N5" s="5"/>
    </row>
    <row r="6" spans="1:14" x14ac:dyDescent="0.25">
      <c r="A6" s="29" t="s">
        <v>1190</v>
      </c>
      <c r="B6" s="5"/>
      <c r="C6" s="5"/>
      <c r="D6" s="5"/>
      <c r="E6" s="5"/>
      <c r="F6" s="5"/>
      <c r="G6" s="5"/>
      <c r="H6" s="5"/>
      <c r="I6" s="5"/>
      <c r="J6" s="5"/>
      <c r="K6" s="5"/>
      <c r="L6" s="5"/>
      <c r="M6" s="5"/>
      <c r="N6" s="5"/>
    </row>
    <row r="7" spans="1:14" x14ac:dyDescent="0.25">
      <c r="A7" s="18" t="s">
        <v>1192</v>
      </c>
    </row>
    <row r="8" spans="1:14" x14ac:dyDescent="0.25">
      <c r="A8" t="s">
        <v>1197</v>
      </c>
    </row>
    <row r="10" spans="1:14" x14ac:dyDescent="0.25">
      <c r="A10" s="15" t="s">
        <v>1193</v>
      </c>
      <c r="D10" t="s">
        <v>1194</v>
      </c>
      <c r="F10">
        <v>2.7</v>
      </c>
      <c r="G10" t="s">
        <v>1121</v>
      </c>
    </row>
    <row r="13" spans="1:14" x14ac:dyDescent="0.25">
      <c r="B13" t="s">
        <v>1122</v>
      </c>
      <c r="C13" s="15" t="s">
        <v>537</v>
      </c>
    </row>
    <row r="14" spans="1:14" x14ac:dyDescent="0.25">
      <c r="A14" t="s">
        <v>1196</v>
      </c>
      <c r="B14">
        <v>2</v>
      </c>
      <c r="C14" s="15">
        <f>B14/F10</f>
        <v>0.7407407407407407</v>
      </c>
    </row>
    <row r="15" spans="1:14" x14ac:dyDescent="0.25">
      <c r="A15" t="s">
        <v>108</v>
      </c>
      <c r="B15">
        <v>0.2</v>
      </c>
      <c r="C15" s="15">
        <f>B15/F10</f>
        <v>7.407407407407407E-2</v>
      </c>
    </row>
    <row r="16" spans="1:14" x14ac:dyDescent="0.25">
      <c r="A16" t="s">
        <v>1198</v>
      </c>
      <c r="C16">
        <v>9</v>
      </c>
    </row>
    <row r="17" spans="1:14" x14ac:dyDescent="0.25">
      <c r="A17" t="s">
        <v>850</v>
      </c>
      <c r="C17" s="15">
        <v>528</v>
      </c>
    </row>
    <row r="18" spans="1:14" x14ac:dyDescent="0.25">
      <c r="A18" t="s">
        <v>236</v>
      </c>
      <c r="C18">
        <v>27</v>
      </c>
    </row>
    <row r="19" spans="1:14" x14ac:dyDescent="0.25">
      <c r="A19" t="s">
        <v>235</v>
      </c>
      <c r="C19">
        <v>100</v>
      </c>
    </row>
    <row r="20" spans="1:14" x14ac:dyDescent="0.25">
      <c r="A20" t="s">
        <v>0</v>
      </c>
      <c r="C20">
        <v>4.5</v>
      </c>
    </row>
    <row r="26" spans="1:14" x14ac:dyDescent="0.25">
      <c r="A26" s="5" t="s">
        <v>1200</v>
      </c>
      <c r="B26" s="5"/>
      <c r="C26" s="5"/>
      <c r="D26" s="5"/>
      <c r="E26" s="5"/>
      <c r="F26" s="5"/>
      <c r="G26" s="5"/>
      <c r="H26" s="5"/>
      <c r="I26" s="5"/>
      <c r="J26" s="5"/>
      <c r="K26" s="5"/>
      <c r="L26" s="5"/>
      <c r="M26" s="5"/>
      <c r="N26" s="5"/>
    </row>
    <row r="27" spans="1:14" x14ac:dyDescent="0.25">
      <c r="A27" s="29" t="s">
        <v>1199</v>
      </c>
      <c r="B27" s="5"/>
      <c r="C27" s="5"/>
      <c r="D27" s="5"/>
      <c r="E27" s="5"/>
      <c r="F27" s="5"/>
      <c r="G27" s="5"/>
      <c r="H27" s="5"/>
      <c r="I27" s="5"/>
      <c r="J27" s="5"/>
      <c r="K27" s="5"/>
      <c r="L27" s="5"/>
      <c r="M27" s="5"/>
      <c r="N27" s="5"/>
    </row>
    <row r="28" spans="1:14" x14ac:dyDescent="0.25">
      <c r="A28" s="18" t="s">
        <v>1207</v>
      </c>
    </row>
    <row r="30" spans="1:14" x14ac:dyDescent="0.25">
      <c r="A30" s="15" t="s">
        <v>1193</v>
      </c>
    </row>
    <row r="32" spans="1:14" x14ac:dyDescent="0.25">
      <c r="A32" s="15" t="s">
        <v>1195</v>
      </c>
      <c r="G32" t="s">
        <v>29</v>
      </c>
    </row>
    <row r="33" spans="1:11" x14ac:dyDescent="0.25">
      <c r="A33" s="109" t="s">
        <v>1201</v>
      </c>
      <c r="B33" s="110"/>
      <c r="C33" s="110"/>
      <c r="D33" s="110">
        <v>3</v>
      </c>
      <c r="E33" s="111" t="s">
        <v>1122</v>
      </c>
      <c r="G33" s="109" t="s">
        <v>1201</v>
      </c>
      <c r="H33" s="110"/>
      <c r="I33" s="110"/>
      <c r="J33" s="110">
        <v>1</v>
      </c>
      <c r="K33" s="111" t="s">
        <v>1122</v>
      </c>
    </row>
    <row r="34" spans="1:11" x14ac:dyDescent="0.25">
      <c r="A34" s="112" t="s">
        <v>1202</v>
      </c>
      <c r="B34" s="113"/>
      <c r="C34" s="113"/>
      <c r="D34" s="113">
        <v>2</v>
      </c>
      <c r="E34" s="114" t="s">
        <v>1122</v>
      </c>
      <c r="G34" s="112" t="s">
        <v>1202</v>
      </c>
      <c r="H34" s="113"/>
      <c r="I34" s="113"/>
      <c r="J34" s="113">
        <v>0.5</v>
      </c>
      <c r="K34" s="114" t="s">
        <v>1122</v>
      </c>
    </row>
    <row r="35" spans="1:11" x14ac:dyDescent="0.25">
      <c r="A35" s="115" t="s">
        <v>561</v>
      </c>
      <c r="B35" s="93"/>
      <c r="C35" s="93"/>
      <c r="D35" s="93">
        <f>AVERAGE(D33:D34)</f>
        <v>2.5</v>
      </c>
      <c r="E35" s="116" t="s">
        <v>1122</v>
      </c>
      <c r="G35" s="115" t="s">
        <v>561</v>
      </c>
      <c r="H35" s="93"/>
      <c r="I35" s="93"/>
      <c r="J35" s="93">
        <f>AVERAGE(J33:J34)</f>
        <v>0.75</v>
      </c>
      <c r="K35" s="116" t="s">
        <v>1122</v>
      </c>
    </row>
    <row r="36" spans="1:11" x14ac:dyDescent="0.25">
      <c r="A36" s="117" t="s">
        <v>1203</v>
      </c>
      <c r="B36" s="118"/>
      <c r="C36" s="118"/>
      <c r="D36" s="118">
        <v>1.7</v>
      </c>
      <c r="E36" s="119" t="s">
        <v>1204</v>
      </c>
    </row>
    <row r="38" spans="1:11" x14ac:dyDescent="0.25">
      <c r="A38" t="s">
        <v>1205</v>
      </c>
      <c r="B38">
        <v>2</v>
      </c>
      <c r="C38" t="s">
        <v>877</v>
      </c>
    </row>
    <row r="39" spans="1:11" x14ac:dyDescent="0.25">
      <c r="A39" t="s">
        <v>1206</v>
      </c>
    </row>
    <row r="43" spans="1:11" x14ac:dyDescent="0.25">
      <c r="A43" s="15"/>
      <c r="B43" s="15" t="s">
        <v>821</v>
      </c>
    </row>
    <row r="44" spans="1:11" x14ac:dyDescent="0.25">
      <c r="A44" s="15" t="s">
        <v>108</v>
      </c>
      <c r="B44" s="15">
        <f>J35/D36/2</f>
        <v>0.22058823529411764</v>
      </c>
    </row>
    <row r="45" spans="1:11" x14ac:dyDescent="0.25">
      <c r="A45" s="15" t="s">
        <v>1196</v>
      </c>
      <c r="B45" s="15">
        <f>D35/D36/B38</f>
        <v>0.73529411764705888</v>
      </c>
    </row>
    <row r="58" spans="1:14" x14ac:dyDescent="0.25">
      <c r="A58" s="6" t="s">
        <v>1129</v>
      </c>
      <c r="B58" s="6"/>
      <c r="C58" s="6"/>
      <c r="D58" s="6"/>
      <c r="E58" s="6"/>
      <c r="F58" s="6"/>
      <c r="G58" s="6"/>
      <c r="H58" s="6"/>
      <c r="I58" s="6"/>
      <c r="J58" s="6"/>
      <c r="K58" s="6"/>
      <c r="L58" s="6"/>
      <c r="M58" s="6"/>
      <c r="N58" s="6"/>
    </row>
    <row r="59" spans="1:14" x14ac:dyDescent="0.25">
      <c r="A59" s="30" t="s">
        <v>1208</v>
      </c>
      <c r="B59" s="6"/>
      <c r="C59" s="6"/>
      <c r="D59" s="6"/>
      <c r="E59" s="6"/>
      <c r="F59" s="6"/>
      <c r="G59" s="6"/>
      <c r="H59" s="6"/>
      <c r="I59" s="6"/>
      <c r="J59" s="6"/>
      <c r="K59" s="6"/>
      <c r="L59" s="6"/>
      <c r="M59" s="6"/>
      <c r="N59" s="6"/>
    </row>
    <row r="62" spans="1:14" x14ac:dyDescent="0.25">
      <c r="A62" t="s">
        <v>1209</v>
      </c>
    </row>
    <row r="65" spans="1:14" x14ac:dyDescent="0.25">
      <c r="A65" s="5" t="s">
        <v>442</v>
      </c>
      <c r="B65" s="5"/>
      <c r="C65" s="5"/>
      <c r="D65" s="5"/>
      <c r="E65" s="5"/>
      <c r="F65" s="5"/>
      <c r="G65" s="5"/>
      <c r="H65" s="5"/>
      <c r="I65" s="5"/>
      <c r="J65" s="5"/>
      <c r="K65" s="5"/>
      <c r="L65" s="5"/>
      <c r="M65" s="5"/>
      <c r="N65" s="5"/>
    </row>
    <row r="66" spans="1:14" x14ac:dyDescent="0.25">
      <c r="A66" s="29" t="s">
        <v>443</v>
      </c>
      <c r="B66" s="5"/>
      <c r="C66" s="5"/>
      <c r="D66" s="5"/>
      <c r="E66" s="5"/>
      <c r="F66" s="5"/>
      <c r="G66" s="5"/>
      <c r="H66" s="5"/>
      <c r="I66" s="5"/>
      <c r="J66" s="5"/>
      <c r="K66" s="5"/>
      <c r="L66" s="5"/>
      <c r="M66" s="5"/>
      <c r="N66" s="5"/>
    </row>
    <row r="67" spans="1:14" x14ac:dyDescent="0.25">
      <c r="A67" s="18" t="s">
        <v>444</v>
      </c>
    </row>
    <row r="68" spans="1:14" x14ac:dyDescent="0.25">
      <c r="A68" t="s">
        <v>1210</v>
      </c>
    </row>
    <row r="71" spans="1:14" x14ac:dyDescent="0.25">
      <c r="B71" t="s">
        <v>1211</v>
      </c>
      <c r="C71" t="s">
        <v>1212</v>
      </c>
    </row>
    <row r="72" spans="1:14" x14ac:dyDescent="0.25">
      <c r="A72" s="15"/>
      <c r="B72" s="15" t="s">
        <v>821</v>
      </c>
      <c r="C72" s="15" t="s">
        <v>821</v>
      </c>
    </row>
    <row r="73" spans="1:14" x14ac:dyDescent="0.25">
      <c r="A73" s="15" t="s">
        <v>1196</v>
      </c>
      <c r="B73" s="15">
        <f>2/1.6/0.3</f>
        <v>4.166666666666667</v>
      </c>
    </row>
    <row r="74" spans="1:14" x14ac:dyDescent="0.25">
      <c r="A74" s="15" t="s">
        <v>108</v>
      </c>
      <c r="B74" s="15">
        <f>0.5/1.6/0.3</f>
        <v>1.0416666666666667</v>
      </c>
    </row>
    <row r="75" spans="1:14" x14ac:dyDescent="0.25">
      <c r="A75" s="15" t="s">
        <v>246</v>
      </c>
      <c r="C75" s="15">
        <v>8.9</v>
      </c>
    </row>
    <row r="86" spans="1:14" x14ac:dyDescent="0.25">
      <c r="A86" s="5" t="s">
        <v>1214</v>
      </c>
      <c r="B86" s="5"/>
      <c r="C86" s="5"/>
      <c r="D86" s="5"/>
      <c r="E86" s="5"/>
      <c r="F86" s="5"/>
      <c r="G86" s="5"/>
      <c r="H86" s="5"/>
      <c r="I86" s="5"/>
      <c r="J86" s="5"/>
      <c r="K86" s="5"/>
      <c r="L86" s="5"/>
      <c r="M86" s="5"/>
      <c r="N86" s="5"/>
    </row>
    <row r="87" spans="1:14" x14ac:dyDescent="0.25">
      <c r="A87" s="29" t="s">
        <v>1213</v>
      </c>
      <c r="B87" s="5"/>
      <c r="C87" s="5"/>
      <c r="D87" s="5"/>
      <c r="E87" s="5"/>
      <c r="F87" s="5"/>
      <c r="G87" s="5"/>
      <c r="H87" s="5"/>
      <c r="I87" s="5"/>
      <c r="J87" s="5"/>
      <c r="K87" s="5"/>
      <c r="L87" s="5"/>
      <c r="M87" s="5"/>
      <c r="N87" s="5"/>
    </row>
    <row r="88" spans="1:14" x14ac:dyDescent="0.25">
      <c r="A88" s="18" t="s">
        <v>1215</v>
      </c>
    </row>
    <row r="89" spans="1:14" x14ac:dyDescent="0.25">
      <c r="A89" t="s">
        <v>1216</v>
      </c>
    </row>
    <row r="91" spans="1:14" x14ac:dyDescent="0.25">
      <c r="A91" s="15" t="s">
        <v>1193</v>
      </c>
    </row>
    <row r="93" spans="1:14" x14ac:dyDescent="0.25">
      <c r="B93" t="s">
        <v>821</v>
      </c>
    </row>
    <row r="94" spans="1:14" x14ac:dyDescent="0.25">
      <c r="A94" t="s">
        <v>108</v>
      </c>
      <c r="B94">
        <f>0.8/1/1.67</f>
        <v>0.47904191616766473</v>
      </c>
    </row>
    <row r="95" spans="1:14" x14ac:dyDescent="0.25">
      <c r="A95" t="s">
        <v>1196</v>
      </c>
      <c r="B95">
        <f>2/1/1.67</f>
        <v>1.1976047904191618</v>
      </c>
    </row>
    <row r="101" spans="1:16" x14ac:dyDescent="0.25">
      <c r="A101" s="5" t="s">
        <v>1218</v>
      </c>
      <c r="B101" s="5"/>
      <c r="C101" s="5"/>
      <c r="D101" s="5"/>
      <c r="E101" s="5"/>
      <c r="F101" s="5"/>
      <c r="G101" s="5"/>
      <c r="H101" s="5"/>
      <c r="I101" s="5"/>
      <c r="J101" s="5"/>
      <c r="K101" s="5"/>
      <c r="L101" s="5"/>
      <c r="M101" s="5"/>
      <c r="N101" s="5"/>
    </row>
    <row r="102" spans="1:16" x14ac:dyDescent="0.25">
      <c r="A102" s="29" t="s">
        <v>1217</v>
      </c>
      <c r="B102" s="5"/>
      <c r="C102" s="5"/>
      <c r="D102" s="5"/>
      <c r="E102" s="5"/>
      <c r="F102" s="5"/>
      <c r="G102" s="5"/>
      <c r="H102" s="5"/>
      <c r="I102" s="5"/>
      <c r="J102" s="5"/>
      <c r="K102" s="5"/>
      <c r="L102" s="5"/>
      <c r="M102" s="5"/>
      <c r="N102" s="5"/>
    </row>
    <row r="103" spans="1:16" x14ac:dyDescent="0.25">
      <c r="A103" s="18" t="s">
        <v>1219</v>
      </c>
    </row>
    <row r="104" spans="1:16" x14ac:dyDescent="0.25">
      <c r="A104" t="s">
        <v>718</v>
      </c>
    </row>
    <row r="106" spans="1:16" x14ac:dyDescent="0.25">
      <c r="A106" s="15" t="s">
        <v>1221</v>
      </c>
      <c r="E106" t="s">
        <v>1227</v>
      </c>
      <c r="F106" t="s">
        <v>1228</v>
      </c>
    </row>
    <row r="107" spans="1:16" x14ac:dyDescent="0.25">
      <c r="E107" t="s">
        <v>1229</v>
      </c>
      <c r="F107" t="s">
        <v>1230</v>
      </c>
    </row>
    <row r="108" spans="1:16" x14ac:dyDescent="0.25">
      <c r="B108" t="s">
        <v>821</v>
      </c>
      <c r="E108" t="s">
        <v>1231</v>
      </c>
      <c r="F108" t="s">
        <v>1232</v>
      </c>
    </row>
    <row r="109" spans="1:16" x14ac:dyDescent="0.25">
      <c r="A109" t="s">
        <v>1222</v>
      </c>
      <c r="B109">
        <v>20563</v>
      </c>
      <c r="E109" t="s">
        <v>1224</v>
      </c>
      <c r="F109" t="s">
        <v>1233</v>
      </c>
    </row>
    <row r="110" spans="1:16" x14ac:dyDescent="0.25">
      <c r="A110" t="s">
        <v>1223</v>
      </c>
      <c r="B110">
        <v>38</v>
      </c>
      <c r="E110" t="s">
        <v>1225</v>
      </c>
      <c r="F110" t="s">
        <v>1234</v>
      </c>
      <c r="P110" t="s">
        <v>1240</v>
      </c>
    </row>
    <row r="111" spans="1:16" x14ac:dyDescent="0.25">
      <c r="A111" t="s">
        <v>1224</v>
      </c>
      <c r="B111">
        <v>425</v>
      </c>
    </row>
    <row r="112" spans="1:16" x14ac:dyDescent="0.25">
      <c r="A112" t="s">
        <v>1225</v>
      </c>
      <c r="B112">
        <v>262</v>
      </c>
    </row>
    <row r="113" spans="1:15" x14ac:dyDescent="0.25">
      <c r="A113" t="s">
        <v>1226</v>
      </c>
      <c r="B113">
        <v>4</v>
      </c>
    </row>
    <row r="114" spans="1:15" x14ac:dyDescent="0.25">
      <c r="A114" t="s">
        <v>837</v>
      </c>
      <c r="B114">
        <v>59</v>
      </c>
    </row>
    <row r="115" spans="1:15" x14ac:dyDescent="0.25">
      <c r="A115" t="s">
        <v>265</v>
      </c>
      <c r="B115">
        <v>313</v>
      </c>
    </row>
    <row r="118" spans="1:15" x14ac:dyDescent="0.25">
      <c r="J118" t="s">
        <v>1238</v>
      </c>
    </row>
    <row r="119" spans="1:15" x14ac:dyDescent="0.25">
      <c r="A119" s="93"/>
      <c r="B119" s="93"/>
      <c r="C119" s="93" t="s">
        <v>1241</v>
      </c>
      <c r="I119" t="s">
        <v>1237</v>
      </c>
      <c r="J119" t="s">
        <v>1227</v>
      </c>
      <c r="K119" t="s">
        <v>1239</v>
      </c>
      <c r="L119" t="s">
        <v>1231</v>
      </c>
      <c r="M119" t="s">
        <v>1225</v>
      </c>
      <c r="N119" t="s">
        <v>1224</v>
      </c>
      <c r="O119" t="s">
        <v>1226</v>
      </c>
    </row>
    <row r="120" spans="1:15" x14ac:dyDescent="0.25">
      <c r="A120" t="s">
        <v>1227</v>
      </c>
      <c r="B120" t="s">
        <v>101</v>
      </c>
      <c r="C120">
        <f>I123*J123/SUMPRODUCT(I120:I133,J120:J133)</f>
        <v>0.36190839155737015</v>
      </c>
      <c r="E120" s="13">
        <f>SUM(C120:C124)</f>
        <v>1</v>
      </c>
      <c r="H120" t="s">
        <v>94</v>
      </c>
      <c r="I120">
        <v>140.11500000000001</v>
      </c>
      <c r="M120">
        <f>1*0.8</f>
        <v>0.8</v>
      </c>
    </row>
    <row r="121" spans="1:15" x14ac:dyDescent="0.25">
      <c r="B121" t="s">
        <v>115</v>
      </c>
      <c r="C121">
        <f>I130*J130/SUMPRODUCT(I120:I133,J120:J133)</f>
        <v>0.15219181442005977</v>
      </c>
      <c r="E121" s="13"/>
      <c r="H121" t="s">
        <v>95</v>
      </c>
      <c r="I121">
        <v>58.933194999999998</v>
      </c>
      <c r="J121">
        <v>0.8</v>
      </c>
      <c r="K121">
        <v>1</v>
      </c>
    </row>
    <row r="122" spans="1:15" x14ac:dyDescent="0.25">
      <c r="B122" t="s">
        <v>95</v>
      </c>
      <c r="C122">
        <f>I121*J121/SUMPRODUCT(I120:I133,J120:J133)</f>
        <v>0.2047283697014653</v>
      </c>
      <c r="E122" s="13"/>
      <c r="H122" t="s">
        <v>351</v>
      </c>
      <c r="I122">
        <v>55.844999999999999</v>
      </c>
      <c r="J122">
        <v>0.3</v>
      </c>
    </row>
    <row r="123" spans="1:15" x14ac:dyDescent="0.25">
      <c r="B123" t="s">
        <v>351</v>
      </c>
      <c r="C123">
        <f>I122*J122/SUMPRODUCT(I120:I133,J120:J133)</f>
        <v>7.2750101657340541E-2</v>
      </c>
      <c r="E123" s="13"/>
      <c r="H123" t="s">
        <v>101</v>
      </c>
      <c r="I123">
        <v>138.90547000000001</v>
      </c>
      <c r="J123">
        <v>0.6</v>
      </c>
      <c r="K123">
        <v>0.6</v>
      </c>
      <c r="O123">
        <v>0.8</v>
      </c>
    </row>
    <row r="124" spans="1:15" x14ac:dyDescent="0.25">
      <c r="A124" s="93"/>
      <c r="B124" s="93" t="s">
        <v>1236</v>
      </c>
      <c r="C124" s="93">
        <f>I127*J127/SUMPRODUCT(I120:I133,J120:J133)</f>
        <v>0.20842132266376423</v>
      </c>
      <c r="E124" s="13"/>
    </row>
    <row r="125" spans="1:15" x14ac:dyDescent="0.25">
      <c r="A125" t="s">
        <v>1229</v>
      </c>
      <c r="B125" t="s">
        <v>101</v>
      </c>
      <c r="C125">
        <f>I123*K123/SUMPRODUCT(I120:I133,K120:K133)</f>
        <v>0.36988609834117142</v>
      </c>
      <c r="E125" s="13">
        <f>SUM(C125:C128)</f>
        <v>1</v>
      </c>
      <c r="H125" t="s">
        <v>350</v>
      </c>
      <c r="I125">
        <v>54.938043999999998</v>
      </c>
      <c r="O125">
        <v>1</v>
      </c>
    </row>
    <row r="126" spans="1:15" x14ac:dyDescent="0.25">
      <c r="B126" t="s">
        <v>115</v>
      </c>
      <c r="C126">
        <f>I130*K130/SUMPRODUCT(I120:I133,K120:K133)</f>
        <v>0.1555466459151606</v>
      </c>
      <c r="E126" s="13"/>
      <c r="H126" t="s">
        <v>352</v>
      </c>
      <c r="I126">
        <v>58.693399999999997</v>
      </c>
      <c r="L126">
        <v>1</v>
      </c>
    </row>
    <row r="127" spans="1:15" x14ac:dyDescent="0.25">
      <c r="B127" t="s">
        <v>95</v>
      </c>
      <c r="C127">
        <f>I121*K121/SUMPRODUCT(I120:I133,K120:K133)</f>
        <v>0.2615516096585857</v>
      </c>
      <c r="E127" s="13"/>
      <c r="H127" t="s">
        <v>1236</v>
      </c>
      <c r="I127">
        <v>15.999000000000001</v>
      </c>
      <c r="J127">
        <v>3</v>
      </c>
      <c r="K127">
        <v>3</v>
      </c>
      <c r="L127">
        <v>4</v>
      </c>
      <c r="M127">
        <f>2*0.8+1.5*0.2</f>
        <v>1.9000000000000001</v>
      </c>
      <c r="N127">
        <f>2*(1-0.08)+3*0.08</f>
        <v>2.08</v>
      </c>
      <c r="O127">
        <v>3</v>
      </c>
    </row>
    <row r="128" spans="1:15" x14ac:dyDescent="0.25">
      <c r="A128" s="93"/>
      <c r="B128" s="93" t="s">
        <v>1236</v>
      </c>
      <c r="C128" s="93">
        <f>I127*K127/SUMPRODUCT(I120:I133,K120:K133)</f>
        <v>0.21301564608508222</v>
      </c>
      <c r="E128" s="13"/>
    </row>
    <row r="129" spans="1:15" x14ac:dyDescent="0.25">
      <c r="A129" t="s">
        <v>1231</v>
      </c>
      <c r="B129" t="s">
        <v>107</v>
      </c>
      <c r="C129">
        <f>I129*L129/SUMPRODUCT(I120:I133,L120:L133)</f>
        <v>0.69348911931829549</v>
      </c>
      <c r="E129" s="13">
        <f>SUM(C129:C131)</f>
        <v>1</v>
      </c>
      <c r="H129" t="s">
        <v>107</v>
      </c>
      <c r="I129">
        <v>140.90764999999999</v>
      </c>
      <c r="L129">
        <v>1.97</v>
      </c>
    </row>
    <row r="130" spans="1:15" x14ac:dyDescent="0.25">
      <c r="B130" t="s">
        <v>352</v>
      </c>
      <c r="C130">
        <f>I126*L126/SUMPRODUCT(I120:I133,L120:L133)</f>
        <v>0.14663178501324123</v>
      </c>
      <c r="E130" s="13"/>
      <c r="H130" t="s">
        <v>115</v>
      </c>
      <c r="I130">
        <v>87.62</v>
      </c>
      <c r="J130">
        <v>0.4</v>
      </c>
      <c r="K130">
        <v>0.4</v>
      </c>
      <c r="O130">
        <v>0.2</v>
      </c>
    </row>
    <row r="131" spans="1:15" x14ac:dyDescent="0.25">
      <c r="A131" s="93"/>
      <c r="B131" s="93" t="s">
        <v>1236</v>
      </c>
      <c r="C131" s="93">
        <f>I127*L127/SUMPRODUCT(I120:I133,L120:L133)</f>
        <v>0.15987909566846334</v>
      </c>
      <c r="E131" s="13"/>
    </row>
    <row r="132" spans="1:15" x14ac:dyDescent="0.25">
      <c r="A132" t="s">
        <v>1225</v>
      </c>
      <c r="B132" t="s">
        <v>94</v>
      </c>
      <c r="C132">
        <f>I120*M120/SUMPRODUCT(I120:I133,M120:M133)</f>
        <v>0.69938922927359348</v>
      </c>
      <c r="E132" s="13">
        <f>SUM(C132:C134)</f>
        <v>1</v>
      </c>
      <c r="H132" t="s">
        <v>120</v>
      </c>
      <c r="I132">
        <v>88.905850000000001</v>
      </c>
      <c r="M132">
        <f>1*0.2</f>
        <v>0.2</v>
      </c>
      <c r="N132">
        <f>2*0.08</f>
        <v>0.16</v>
      </c>
    </row>
    <row r="133" spans="1:15" x14ac:dyDescent="0.25">
      <c r="B133" t="s">
        <v>120</v>
      </c>
      <c r="C133">
        <f>I132*M132/SUMPRODUCT(I120:I133,M120:M133)</f>
        <v>0.11094421351999019</v>
      </c>
      <c r="E133" s="13"/>
      <c r="H133" t="s">
        <v>121</v>
      </c>
      <c r="I133">
        <v>91.224000000000004</v>
      </c>
      <c r="N133">
        <f>1*(1-0.08)</f>
        <v>0.92</v>
      </c>
    </row>
    <row r="134" spans="1:15" x14ac:dyDescent="0.25">
      <c r="A134" s="93"/>
      <c r="B134" s="93" t="s">
        <v>1236</v>
      </c>
      <c r="C134" s="93">
        <f>I127*M127/SUMPRODUCT(I120:I133,M120:M133)</f>
        <v>0.18966655720641634</v>
      </c>
      <c r="E134" s="13"/>
    </row>
    <row r="135" spans="1:15" x14ac:dyDescent="0.25">
      <c r="A135" t="s">
        <v>1224</v>
      </c>
      <c r="B135" t="s">
        <v>883</v>
      </c>
      <c r="C135">
        <f>I133*N133/SUMPRODUCT(I120:I133,N120:N133)</f>
        <v>0.6385662286728091</v>
      </c>
      <c r="E135" s="13">
        <f>SUM(C135:C137)</f>
        <v>0.99999999999999989</v>
      </c>
    </row>
    <row r="136" spans="1:15" x14ac:dyDescent="0.25">
      <c r="B136" t="s">
        <v>120</v>
      </c>
      <c r="C136">
        <f>I132*N132/SUMPRODUCT(I120:I133,N120:N133)</f>
        <v>0.10823290846697563</v>
      </c>
      <c r="E136" s="13"/>
    </row>
    <row r="137" spans="1:15" x14ac:dyDescent="0.25">
      <c r="A137" s="93"/>
      <c r="B137" s="93" t="s">
        <v>1236</v>
      </c>
      <c r="C137" s="93">
        <f>I127*N127/SUMPRODUCT(I120:I133,N120:N133)</f>
        <v>0.25320086286021515</v>
      </c>
      <c r="E137" s="13"/>
    </row>
    <row r="138" spans="1:15" x14ac:dyDescent="0.25">
      <c r="A138" t="s">
        <v>1226</v>
      </c>
      <c r="B138" t="s">
        <v>101</v>
      </c>
      <c r="C138">
        <f>I123*O123/SUMPRODUCT(I120:I133,O120:O133)</f>
        <v>0.47984599242899173</v>
      </c>
      <c r="E138" s="13">
        <f>SUM(C138:C141)</f>
        <v>1</v>
      </c>
    </row>
    <row r="139" spans="1:15" x14ac:dyDescent="0.25">
      <c r="B139" t="s">
        <v>115</v>
      </c>
      <c r="C139">
        <f>I130*O130/SUMPRODUCT(I120:I133,O120:O133)</f>
        <v>7.5670356712065151E-2</v>
      </c>
    </row>
    <row r="140" spans="1:15" x14ac:dyDescent="0.25">
      <c r="B140" t="s">
        <v>350</v>
      </c>
      <c r="C140">
        <f>I125*O125/SUMPRODUCT(I120:I133,O120:O133)</f>
        <v>0.23722788099424388</v>
      </c>
    </row>
    <row r="141" spans="1:15" x14ac:dyDescent="0.25">
      <c r="A141" s="93"/>
      <c r="B141" s="93" t="s">
        <v>1236</v>
      </c>
      <c r="C141" s="93">
        <f>I127*O127/SUMPRODUCT(I120:I133,O120:O133)</f>
        <v>0.20725576986469929</v>
      </c>
    </row>
    <row r="143" spans="1:15" x14ac:dyDescent="0.25">
      <c r="A143" s="54" t="s">
        <v>821</v>
      </c>
      <c r="B143" s="15"/>
      <c r="C143" s="15"/>
      <c r="D143" s="15"/>
    </row>
    <row r="144" spans="1:15" x14ac:dyDescent="0.25">
      <c r="A144" s="15"/>
      <c r="B144" s="15" t="s">
        <v>1227</v>
      </c>
      <c r="C144" s="15" t="s">
        <v>1239</v>
      </c>
      <c r="D144" s="15" t="s">
        <v>1231</v>
      </c>
      <c r="F144" s="15" t="s">
        <v>561</v>
      </c>
    </row>
    <row r="145" spans="1:6" x14ac:dyDescent="0.25">
      <c r="A145" s="15" t="s">
        <v>1235</v>
      </c>
      <c r="B145" s="15">
        <f>B109</f>
        <v>20563</v>
      </c>
      <c r="C145" s="15">
        <f>B109</f>
        <v>20563</v>
      </c>
      <c r="D145" s="15">
        <f>B109</f>
        <v>20563</v>
      </c>
      <c r="F145">
        <f>AVERAGE(B145:D145)</f>
        <v>20563</v>
      </c>
    </row>
    <row r="146" spans="1:6" x14ac:dyDescent="0.25">
      <c r="A146" s="15" t="s">
        <v>94</v>
      </c>
      <c r="B146" s="15">
        <f>C132*B112</f>
        <v>183.23997806968148</v>
      </c>
      <c r="C146" s="15">
        <f>C132*B112</f>
        <v>183.23997806968148</v>
      </c>
      <c r="D146" s="15">
        <f>C132*B112</f>
        <v>183.23997806968148</v>
      </c>
      <c r="F146">
        <f t="shared" ref="F146:F155" si="0">AVERAGE(B146:D146)</f>
        <v>183.23997806968148</v>
      </c>
    </row>
    <row r="147" spans="1:6" x14ac:dyDescent="0.25">
      <c r="A147" s="15" t="s">
        <v>95</v>
      </c>
      <c r="B147" s="15">
        <f>C122*B110</f>
        <v>7.7796780486556809</v>
      </c>
      <c r="C147" s="15">
        <f>C127*B110</f>
        <v>9.9389611670262568</v>
      </c>
      <c r="D147" s="15">
        <f>D122*B110</f>
        <v>0</v>
      </c>
      <c r="F147">
        <f t="shared" si="0"/>
        <v>5.9062130718939798</v>
      </c>
    </row>
    <row r="148" spans="1:6" x14ac:dyDescent="0.25">
      <c r="A148" s="15" t="s">
        <v>351</v>
      </c>
      <c r="B148" s="15">
        <f>C123*B110</f>
        <v>2.7645038629789407</v>
      </c>
      <c r="C148" s="15">
        <f>D126*B110</f>
        <v>0</v>
      </c>
      <c r="D148" s="15">
        <f>D123*B110</f>
        <v>0</v>
      </c>
      <c r="F148">
        <f t="shared" si="0"/>
        <v>0.92150128765964689</v>
      </c>
    </row>
    <row r="149" spans="1:6" x14ac:dyDescent="0.25">
      <c r="A149" s="15" t="s">
        <v>101</v>
      </c>
      <c r="B149" s="15">
        <f>C120*B110+C138*B113</f>
        <v>15.671902848896032</v>
      </c>
      <c r="C149" s="15">
        <f>C125*B110+C138*B113</f>
        <v>15.975055706680482</v>
      </c>
      <c r="D149" s="15">
        <f>D120*B110+C138*B113</f>
        <v>1.9193839697159669</v>
      </c>
      <c r="F149">
        <f t="shared" si="0"/>
        <v>11.188780841764162</v>
      </c>
    </row>
    <row r="150" spans="1:6" x14ac:dyDescent="0.25">
      <c r="A150" s="15" t="s">
        <v>350</v>
      </c>
      <c r="B150" s="15">
        <f>C140*B113</f>
        <v>0.94891152397697553</v>
      </c>
      <c r="C150" s="15">
        <f>C140*B113</f>
        <v>0.94891152397697553</v>
      </c>
      <c r="D150" s="15">
        <f>C140*B113</f>
        <v>0.94891152397697553</v>
      </c>
      <c r="F150">
        <f t="shared" si="0"/>
        <v>0.94891152397697553</v>
      </c>
    </row>
    <row r="151" spans="1:6" x14ac:dyDescent="0.25">
      <c r="A151" s="15" t="s">
        <v>352</v>
      </c>
      <c r="B151" s="15">
        <f>B115+D124*B110</f>
        <v>313</v>
      </c>
      <c r="C151" s="15">
        <f>B115+D124*B110</f>
        <v>313</v>
      </c>
      <c r="D151" s="15">
        <f>B115+C130*B110</f>
        <v>318.57200783050314</v>
      </c>
      <c r="F151">
        <f t="shared" si="0"/>
        <v>314.85733594350103</v>
      </c>
    </row>
    <row r="152" spans="1:6" x14ac:dyDescent="0.25">
      <c r="A152" s="15" t="s">
        <v>107</v>
      </c>
      <c r="B152" s="15">
        <f>B110*D124</f>
        <v>0</v>
      </c>
      <c r="C152" s="15">
        <f>B110*D124</f>
        <v>0</v>
      </c>
      <c r="D152" s="15">
        <f>B110*C129</f>
        <v>26.352586534095227</v>
      </c>
      <c r="F152">
        <f t="shared" si="0"/>
        <v>8.7841955113650751</v>
      </c>
    </row>
    <row r="153" spans="1:6" x14ac:dyDescent="0.25">
      <c r="A153" s="15" t="s">
        <v>115</v>
      </c>
      <c r="B153" s="15">
        <f>C121*B110+C139*B113</f>
        <v>6.0859703748105316</v>
      </c>
      <c r="C153" s="15">
        <f>C126*B110+C139*B113</f>
        <v>6.2134539716243635</v>
      </c>
      <c r="D153" s="15">
        <f>D130*B110+C139*B113</f>
        <v>0.3026814268482606</v>
      </c>
      <c r="F153">
        <f t="shared" si="0"/>
        <v>4.2007019244277188</v>
      </c>
    </row>
    <row r="154" spans="1:6" x14ac:dyDescent="0.25">
      <c r="A154" s="15" t="s">
        <v>120</v>
      </c>
      <c r="B154" s="15">
        <f>C133*B112+C136*B111</f>
        <v>75.066370040702068</v>
      </c>
      <c r="C154" s="15">
        <f>C133*B112+C136*B111</f>
        <v>75.066370040702068</v>
      </c>
      <c r="D154" s="15">
        <f>C133*B112+C136*B111</f>
        <v>75.066370040702068</v>
      </c>
      <c r="F154">
        <f t="shared" si="0"/>
        <v>75.066370040702068</v>
      </c>
    </row>
    <row r="155" spans="1:6" x14ac:dyDescent="0.25">
      <c r="A155" s="15" t="s">
        <v>121</v>
      </c>
      <c r="B155" s="15">
        <f>C135*B111</f>
        <v>271.39064718594386</v>
      </c>
      <c r="C155" s="15">
        <f>C135*B111</f>
        <v>271.39064718594386</v>
      </c>
      <c r="D155" s="15">
        <f>C135*B111</f>
        <v>271.39064718594386</v>
      </c>
      <c r="F155">
        <f t="shared" si="0"/>
        <v>271.39064718594386</v>
      </c>
    </row>
    <row r="157" spans="1:6" x14ac:dyDescent="0.25">
      <c r="A157" t="s">
        <v>1236</v>
      </c>
      <c r="B157">
        <f>C124*B110</f>
        <v>7.920010261223041</v>
      </c>
      <c r="C157">
        <f>C128*B110</f>
        <v>8.0945945512331239</v>
      </c>
      <c r="D157">
        <f>C131*B110</f>
        <v>6.0754056354016068</v>
      </c>
    </row>
    <row r="159" spans="1:6" x14ac:dyDescent="0.25">
      <c r="B159">
        <f>SUM(B145:B157)</f>
        <v>21446.867972216871</v>
      </c>
      <c r="C159">
        <f>SUM(C145:C157)</f>
        <v>21446.867972216871</v>
      </c>
      <c r="D159">
        <f>SUM(D145:D157)</f>
        <v>21446.867972216871</v>
      </c>
    </row>
    <row r="161" spans="1:9" x14ac:dyDescent="0.25">
      <c r="B161" s="120">
        <f>B159-C159</f>
        <v>0</v>
      </c>
      <c r="C161" s="120">
        <f>C159-D159</f>
        <v>0</v>
      </c>
      <c r="D161" s="120">
        <f>D159-B159</f>
        <v>0</v>
      </c>
    </row>
    <row r="165" spans="1:9" x14ac:dyDescent="0.25">
      <c r="A165" s="5" t="s">
        <v>1243</v>
      </c>
      <c r="B165" s="5"/>
      <c r="C165" s="5"/>
      <c r="D165" s="5"/>
      <c r="E165" s="5"/>
      <c r="F165" s="5"/>
      <c r="G165" s="5"/>
      <c r="H165" s="5"/>
      <c r="I165" s="5"/>
    </row>
    <row r="166" spans="1:9" x14ac:dyDescent="0.25">
      <c r="A166" s="29" t="s">
        <v>1242</v>
      </c>
      <c r="B166" s="5"/>
      <c r="C166" s="5"/>
      <c r="D166" s="5"/>
      <c r="E166" s="5"/>
      <c r="F166" s="5"/>
      <c r="G166" s="5"/>
      <c r="H166" s="5"/>
      <c r="I166" s="5"/>
    </row>
    <row r="167" spans="1:9" x14ac:dyDescent="0.25">
      <c r="A167" s="18" t="s">
        <v>1244</v>
      </c>
    </row>
    <row r="168" spans="1:9" x14ac:dyDescent="0.25">
      <c r="A168" t="s">
        <v>1245</v>
      </c>
    </row>
    <row r="170" spans="1:9" x14ac:dyDescent="0.25">
      <c r="A170" s="15" t="s">
        <v>1211</v>
      </c>
    </row>
    <row r="172" spans="1:9" x14ac:dyDescent="0.25">
      <c r="B172" t="s">
        <v>821</v>
      </c>
    </row>
    <row r="173" spans="1:9" x14ac:dyDescent="0.25">
      <c r="A173" t="s">
        <v>108</v>
      </c>
      <c r="B173">
        <f>0.5/1/1.7</f>
        <v>0.29411764705882354</v>
      </c>
    </row>
    <row r="174" spans="1:9" x14ac:dyDescent="0.25">
      <c r="A174" t="s">
        <v>1196</v>
      </c>
      <c r="B174">
        <f>2/1.7/1</f>
        <v>1.1764705882352942</v>
      </c>
    </row>
    <row r="195" spans="1:11" x14ac:dyDescent="0.25">
      <c r="A195" s="5" t="s">
        <v>1247</v>
      </c>
      <c r="B195" s="5"/>
      <c r="C195" s="5"/>
      <c r="D195" s="5"/>
      <c r="E195" s="5"/>
      <c r="F195" s="5"/>
      <c r="G195" s="5"/>
      <c r="H195" s="5"/>
      <c r="I195" s="5"/>
      <c r="J195" s="5"/>
      <c r="K195" s="5"/>
    </row>
    <row r="196" spans="1:11" x14ac:dyDescent="0.25">
      <c r="A196" s="5" t="s">
        <v>1246</v>
      </c>
      <c r="B196" s="5"/>
      <c r="C196" s="5"/>
      <c r="D196" s="5"/>
      <c r="E196" s="5"/>
      <c r="F196" s="5"/>
      <c r="G196" s="5"/>
      <c r="H196" s="5"/>
      <c r="I196" s="5"/>
      <c r="J196" s="5"/>
      <c r="K196" s="5"/>
    </row>
    <row r="197" spans="1:11" x14ac:dyDescent="0.25">
      <c r="A197" s="18" t="s">
        <v>1248</v>
      </c>
    </row>
    <row r="199" spans="1:11" x14ac:dyDescent="0.25">
      <c r="A199" s="15" t="s">
        <v>1193</v>
      </c>
    </row>
    <row r="201" spans="1:11" x14ac:dyDescent="0.25">
      <c r="B201" t="s">
        <v>821</v>
      </c>
    </row>
    <row r="202" spans="1:11" x14ac:dyDescent="0.25">
      <c r="A202" t="s">
        <v>108</v>
      </c>
      <c r="B202">
        <f>0.5/0.6/1.6</f>
        <v>0.52083333333333337</v>
      </c>
    </row>
    <row r="203" spans="1:11" x14ac:dyDescent="0.25">
      <c r="A203" t="s">
        <v>1196</v>
      </c>
      <c r="B203">
        <f>192.217/(192.217+16*2)*2.5/1.6/0.6</f>
        <v>2.2325029064106054</v>
      </c>
    </row>
    <row r="216" spans="1:11" x14ac:dyDescent="0.25">
      <c r="A216" s="5" t="s">
        <v>1250</v>
      </c>
      <c r="B216" s="5"/>
      <c r="C216" s="5"/>
      <c r="D216" s="5"/>
      <c r="E216" s="5"/>
      <c r="F216" s="5"/>
      <c r="G216" s="5"/>
      <c r="H216" s="5"/>
      <c r="I216" s="5"/>
      <c r="J216" s="5"/>
      <c r="K216" s="5"/>
    </row>
    <row r="217" spans="1:11" x14ac:dyDescent="0.25">
      <c r="A217" s="5" t="s">
        <v>1249</v>
      </c>
      <c r="B217" s="5"/>
      <c r="C217" s="5"/>
      <c r="D217" s="5"/>
      <c r="E217" s="5"/>
      <c r="F217" s="5"/>
      <c r="G217" s="5"/>
      <c r="H217" s="5"/>
      <c r="I217" s="5"/>
      <c r="J217" s="5"/>
      <c r="K217" s="5"/>
    </row>
    <row r="218" spans="1:11" x14ac:dyDescent="0.25">
      <c r="A218" s="18" t="s">
        <v>1251</v>
      </c>
    </row>
    <row r="219" spans="1:11" x14ac:dyDescent="0.25">
      <c r="A219" t="s">
        <v>1253</v>
      </c>
    </row>
    <row r="221" spans="1:11" x14ac:dyDescent="0.25">
      <c r="A221" t="s">
        <v>821</v>
      </c>
    </row>
    <row r="222" spans="1:11" x14ac:dyDescent="0.25">
      <c r="B222" t="s">
        <v>1211</v>
      </c>
      <c r="C222" t="s">
        <v>1252</v>
      </c>
    </row>
    <row r="223" spans="1:11" x14ac:dyDescent="0.25">
      <c r="A223" t="s">
        <v>1196</v>
      </c>
      <c r="B223">
        <f>0.667</f>
        <v>0.66700000000000004</v>
      </c>
    </row>
    <row r="224" spans="1:11" x14ac:dyDescent="0.25">
      <c r="A224" t="s">
        <v>108</v>
      </c>
      <c r="B224">
        <v>3.7499999999999999E-2</v>
      </c>
    </row>
    <row r="225" spans="1:3" x14ac:dyDescent="0.25">
      <c r="A225" t="s">
        <v>456</v>
      </c>
      <c r="B225">
        <v>414</v>
      </c>
    </row>
    <row r="226" spans="1:3" x14ac:dyDescent="0.25">
      <c r="A226" t="s">
        <v>1145</v>
      </c>
      <c r="C226">
        <v>10</v>
      </c>
    </row>
    <row r="243" spans="1:11" x14ac:dyDescent="0.25">
      <c r="A243" s="5" t="s">
        <v>1255</v>
      </c>
      <c r="B243" s="5"/>
      <c r="C243" s="5"/>
      <c r="D243" s="5"/>
      <c r="E243" s="5"/>
      <c r="F243" s="5"/>
      <c r="G243" s="5"/>
      <c r="H243" s="5"/>
      <c r="I243" s="5"/>
      <c r="J243" s="5"/>
      <c r="K243" s="5"/>
    </row>
    <row r="244" spans="1:11" x14ac:dyDescent="0.25">
      <c r="A244" s="5" t="s">
        <v>1254</v>
      </c>
      <c r="B244" s="5"/>
      <c r="C244" s="5"/>
      <c r="D244" s="5"/>
      <c r="E244" s="5"/>
      <c r="F244" s="5"/>
      <c r="G244" s="5"/>
      <c r="H244" s="5"/>
      <c r="I244" s="5"/>
      <c r="J244" s="5"/>
      <c r="K244" s="5"/>
    </row>
    <row r="245" spans="1:11" x14ac:dyDescent="0.25">
      <c r="A245" s="18" t="s">
        <v>1256</v>
      </c>
    </row>
    <row r="246" spans="1:11" x14ac:dyDescent="0.25">
      <c r="A246" t="s">
        <v>1257</v>
      </c>
    </row>
    <row r="248" spans="1:11" x14ac:dyDescent="0.25">
      <c r="A248" t="s">
        <v>1212</v>
      </c>
    </row>
    <row r="250" spans="1:11" x14ac:dyDescent="0.25">
      <c r="A250" t="s">
        <v>821</v>
      </c>
    </row>
    <row r="251" spans="1:11" x14ac:dyDescent="0.25">
      <c r="B251" t="s">
        <v>1258</v>
      </c>
      <c r="C251" t="s">
        <v>1259</v>
      </c>
      <c r="D251" t="s">
        <v>241</v>
      </c>
    </row>
    <row r="252" spans="1:11" x14ac:dyDescent="0.25">
      <c r="A252" t="s">
        <v>265</v>
      </c>
      <c r="B252">
        <f>AVERAGE(634,981)</f>
        <v>807.5</v>
      </c>
      <c r="C252">
        <v>1200</v>
      </c>
      <c r="D252">
        <f>SUM(B252:C252)</f>
        <v>2007.5</v>
      </c>
    </row>
    <row r="253" spans="1:11" x14ac:dyDescent="0.25">
      <c r="A253" t="s">
        <v>672</v>
      </c>
      <c r="B253">
        <f>AVERAGE(373,577)</f>
        <v>475</v>
      </c>
      <c r="D253">
        <f t="shared" ref="D253:D258" si="1">SUM(B253:C253)</f>
        <v>475</v>
      </c>
    </row>
    <row r="254" spans="1:11" x14ac:dyDescent="0.25">
      <c r="A254" t="s">
        <v>0</v>
      </c>
      <c r="B254">
        <f>AVERAGE(378,585)+AVERAGE(399,1091)</f>
        <v>1226.5</v>
      </c>
      <c r="C254">
        <v>5900</v>
      </c>
      <c r="D254">
        <f t="shared" si="1"/>
        <v>7126.5</v>
      </c>
    </row>
    <row r="255" spans="1:11" x14ac:dyDescent="0.25">
      <c r="A255" t="s">
        <v>1260</v>
      </c>
      <c r="B255">
        <f>AVERAGE(423,792)</f>
        <v>607.5</v>
      </c>
      <c r="D255">
        <f>B255*39.1/(39.1+16+1)</f>
        <v>423.40909090909088</v>
      </c>
    </row>
    <row r="256" spans="1:11" x14ac:dyDescent="0.25">
      <c r="A256" t="s">
        <v>235</v>
      </c>
      <c r="C256">
        <f>1000*(10.7+11.3+11)</f>
        <v>33000</v>
      </c>
      <c r="D256">
        <f t="shared" si="1"/>
        <v>33000</v>
      </c>
    </row>
    <row r="257" spans="1:11" x14ac:dyDescent="0.25">
      <c r="A257" t="s">
        <v>1108</v>
      </c>
      <c r="C257">
        <f>1000*(15.2+9.9)</f>
        <v>25100</v>
      </c>
      <c r="D257">
        <f t="shared" si="1"/>
        <v>25100</v>
      </c>
    </row>
    <row r="258" spans="1:11" x14ac:dyDescent="0.25">
      <c r="A258" t="s">
        <v>29</v>
      </c>
      <c r="C258">
        <v>1.3</v>
      </c>
      <c r="D258">
        <f t="shared" si="1"/>
        <v>1.3</v>
      </c>
    </row>
    <row r="266" spans="1:11" x14ac:dyDescent="0.25">
      <c r="A266" s="5" t="s">
        <v>1024</v>
      </c>
      <c r="B266" s="5"/>
      <c r="C266" s="5"/>
      <c r="D266" s="5"/>
      <c r="E266" s="5"/>
      <c r="F266" s="5"/>
      <c r="G266" s="5"/>
      <c r="H266" s="5"/>
      <c r="I266" s="5"/>
      <c r="J266" s="5"/>
      <c r="K266" s="5"/>
    </row>
    <row r="267" spans="1:11" x14ac:dyDescent="0.25">
      <c r="A267" s="5" t="s">
        <v>1023</v>
      </c>
      <c r="B267" s="5"/>
      <c r="C267" s="5"/>
      <c r="D267" s="5"/>
      <c r="E267" s="5"/>
      <c r="F267" s="5"/>
      <c r="G267" s="5"/>
      <c r="H267" s="5"/>
      <c r="I267" s="5"/>
      <c r="J267" s="5"/>
      <c r="K267" s="5"/>
    </row>
    <row r="268" spans="1:11" x14ac:dyDescent="0.25">
      <c r="A268" s="18" t="s">
        <v>1025</v>
      </c>
    </row>
    <row r="269" spans="1:11" x14ac:dyDescent="0.25">
      <c r="A269" t="s">
        <v>1261</v>
      </c>
    </row>
    <row r="272" spans="1:11" x14ac:dyDescent="0.25">
      <c r="A272" t="s">
        <v>821</v>
      </c>
    </row>
    <row r="273" spans="1:3" x14ac:dyDescent="0.25">
      <c r="B273" t="s">
        <v>1212</v>
      </c>
      <c r="C273" t="s">
        <v>1211</v>
      </c>
    </row>
    <row r="274" spans="1:3" x14ac:dyDescent="0.25">
      <c r="A274" t="s">
        <v>235</v>
      </c>
      <c r="B274">
        <v>26918</v>
      </c>
      <c r="C274">
        <v>5500</v>
      </c>
    </row>
    <row r="275" spans="1:3" x14ac:dyDescent="0.25">
      <c r="A275" t="s">
        <v>265</v>
      </c>
      <c r="B275">
        <v>2909</v>
      </c>
    </row>
    <row r="276" spans="1:3" x14ac:dyDescent="0.25">
      <c r="A276" t="s">
        <v>0</v>
      </c>
      <c r="B276">
        <v>728</v>
      </c>
      <c r="C276">
        <v>700</v>
      </c>
    </row>
    <row r="277" spans="1:3" x14ac:dyDescent="0.25">
      <c r="A277" t="s">
        <v>850</v>
      </c>
      <c r="C277">
        <v>80</v>
      </c>
    </row>
    <row r="278" spans="1:3" x14ac:dyDescent="0.25">
      <c r="A278" t="s">
        <v>1276</v>
      </c>
      <c r="B278">
        <f>229*39.1/(39.1+16+1)</f>
        <v>159.60606060606059</v>
      </c>
      <c r="C278">
        <f>200*39.1/(39.1+16+1)</f>
        <v>139.39393939393938</v>
      </c>
    </row>
    <row r="279" spans="1:3" x14ac:dyDescent="0.25">
      <c r="A279" t="s">
        <v>108</v>
      </c>
      <c r="C279">
        <v>0.6</v>
      </c>
    </row>
    <row r="280" spans="1:3" x14ac:dyDescent="0.25">
      <c r="A280" t="s">
        <v>1196</v>
      </c>
      <c r="C280">
        <v>0.6</v>
      </c>
    </row>
    <row r="281" spans="1:3" x14ac:dyDescent="0.25">
      <c r="A281" t="s">
        <v>246</v>
      </c>
      <c r="B281">
        <v>4.5</v>
      </c>
    </row>
    <row r="282" spans="1:3" x14ac:dyDescent="0.25">
      <c r="A282" t="s">
        <v>1262</v>
      </c>
      <c r="B282">
        <f>50*91.224/(91.224+32)</f>
        <v>37.015516457832888</v>
      </c>
    </row>
    <row r="301" spans="1:11" x14ac:dyDescent="0.25">
      <c r="A301" s="5" t="s">
        <v>1264</v>
      </c>
      <c r="B301" s="5"/>
      <c r="C301" s="5"/>
      <c r="D301" s="5"/>
      <c r="E301" s="5"/>
      <c r="F301" s="5"/>
      <c r="G301" s="5"/>
      <c r="H301" s="5"/>
      <c r="I301" s="5"/>
      <c r="J301" s="5"/>
      <c r="K301" s="5"/>
    </row>
    <row r="302" spans="1:11" x14ac:dyDescent="0.25">
      <c r="A302" s="5" t="s">
        <v>1263</v>
      </c>
      <c r="B302" s="5"/>
      <c r="C302" s="5"/>
      <c r="D302" s="5"/>
      <c r="E302" s="5"/>
      <c r="F302" s="5"/>
      <c r="G302" s="5"/>
      <c r="H302" s="5"/>
      <c r="I302" s="5"/>
      <c r="J302" s="5"/>
      <c r="K302" s="5"/>
    </row>
    <row r="303" spans="1:11" x14ac:dyDescent="0.25">
      <c r="A303" s="18" t="s">
        <v>1265</v>
      </c>
    </row>
    <row r="304" spans="1:11" x14ac:dyDescent="0.25">
      <c r="A304" t="s">
        <v>1266</v>
      </c>
    </row>
    <row r="306" spans="1:7" x14ac:dyDescent="0.25">
      <c r="A306" s="15" t="s">
        <v>1221</v>
      </c>
      <c r="E306" t="s">
        <v>1269</v>
      </c>
      <c r="F306">
        <v>208</v>
      </c>
      <c r="G306" t="s">
        <v>1271</v>
      </c>
    </row>
    <row r="307" spans="1:7" x14ac:dyDescent="0.25">
      <c r="E307" t="s">
        <v>1270</v>
      </c>
      <c r="F307">
        <v>36</v>
      </c>
      <c r="G307" t="s">
        <v>1272</v>
      </c>
    </row>
    <row r="308" spans="1:7" x14ac:dyDescent="0.25">
      <c r="F308">
        <f>F307*F306/1000</f>
        <v>7.4880000000000004</v>
      </c>
      <c r="G308" t="s">
        <v>1237</v>
      </c>
    </row>
    <row r="309" spans="1:7" x14ac:dyDescent="0.25">
      <c r="B309" t="s">
        <v>227</v>
      </c>
      <c r="C309" t="s">
        <v>821</v>
      </c>
    </row>
    <row r="310" spans="1:7" x14ac:dyDescent="0.25">
      <c r="A310" t="s">
        <v>235</v>
      </c>
      <c r="B310">
        <v>6.7</v>
      </c>
      <c r="C310" s="20">
        <f>B310/$F$308</f>
        <v>0.89476495726495719</v>
      </c>
    </row>
    <row r="311" spans="1:7" x14ac:dyDescent="0.25">
      <c r="A311" t="s">
        <v>1268</v>
      </c>
      <c r="B311">
        <v>910</v>
      </c>
      <c r="C311" s="20">
        <f t="shared" ref="C311:C313" si="2">B311/$F$308</f>
        <v>121.52777777777777</v>
      </c>
    </row>
    <row r="312" spans="1:7" x14ac:dyDescent="0.25">
      <c r="A312" t="s">
        <v>1267</v>
      </c>
      <c r="B312">
        <v>800</v>
      </c>
      <c r="C312" s="20">
        <f t="shared" si="2"/>
        <v>106.83760683760683</v>
      </c>
    </row>
    <row r="313" spans="1:7" x14ac:dyDescent="0.25">
      <c r="A313" t="s">
        <v>1226</v>
      </c>
      <c r="B313">
        <v>160</v>
      </c>
      <c r="C313" s="20">
        <f t="shared" si="2"/>
        <v>21.367521367521366</v>
      </c>
    </row>
    <row r="316" spans="1:7" x14ac:dyDescent="0.25">
      <c r="B316" t="s">
        <v>227</v>
      </c>
      <c r="C316" s="15" t="s">
        <v>821</v>
      </c>
    </row>
    <row r="317" spans="1:7" x14ac:dyDescent="0.25">
      <c r="A317" t="s">
        <v>235</v>
      </c>
      <c r="B317">
        <f>B310</f>
        <v>6.7</v>
      </c>
      <c r="C317" s="33">
        <f>B317/F$308</f>
        <v>0.89476495726495719</v>
      </c>
    </row>
    <row r="318" spans="1:7" x14ac:dyDescent="0.25">
      <c r="A318" t="s">
        <v>265</v>
      </c>
      <c r="B318">
        <f>B311*I126/(I126+I127)</f>
        <v>715.07936550438876</v>
      </c>
      <c r="C318" s="33">
        <f t="shared" ref="C318:C323" si="3">B318/F$308</f>
        <v>95.496710136804055</v>
      </c>
    </row>
    <row r="319" spans="1:7" x14ac:dyDescent="0.25">
      <c r="A319" t="s">
        <v>36</v>
      </c>
      <c r="B319">
        <f>B312*C136</f>
        <v>86.586326773580495</v>
      </c>
      <c r="C319" s="33">
        <f t="shared" si="3"/>
        <v>11.563344921685429</v>
      </c>
    </row>
    <row r="320" spans="1:7" x14ac:dyDescent="0.25">
      <c r="A320" t="s">
        <v>883</v>
      </c>
      <c r="B320">
        <f>B312*C135</f>
        <v>510.85298293824729</v>
      </c>
      <c r="C320" s="33">
        <f t="shared" si="3"/>
        <v>68.222887678718919</v>
      </c>
    </row>
    <row r="321" spans="1:3" x14ac:dyDescent="0.25">
      <c r="A321" t="s">
        <v>101</v>
      </c>
      <c r="B321">
        <f>B313*C138</f>
        <v>76.77535878863867</v>
      </c>
      <c r="C321" s="33">
        <f t="shared" si="3"/>
        <v>10.253119496345976</v>
      </c>
    </row>
    <row r="322" spans="1:3" x14ac:dyDescent="0.25">
      <c r="A322" t="s">
        <v>115</v>
      </c>
      <c r="B322">
        <f>B313*C139</f>
        <v>12.107257073930423</v>
      </c>
      <c r="C322" s="33">
        <f t="shared" si="3"/>
        <v>1.6168879639330158</v>
      </c>
    </row>
    <row r="323" spans="1:3" x14ac:dyDescent="0.25">
      <c r="A323" t="s">
        <v>350</v>
      </c>
      <c r="B323">
        <f>B313*C140</f>
        <v>37.956460959079024</v>
      </c>
      <c r="C323" s="33">
        <f t="shared" si="3"/>
        <v>5.0689718161163224</v>
      </c>
    </row>
    <row r="337" spans="1:11" x14ac:dyDescent="0.25">
      <c r="A337" s="5" t="s">
        <v>1274</v>
      </c>
      <c r="B337" s="5"/>
      <c r="C337" s="5"/>
      <c r="D337" s="5"/>
      <c r="E337" s="5"/>
      <c r="F337" s="5"/>
      <c r="G337" s="5"/>
      <c r="H337" s="5"/>
      <c r="I337" s="5"/>
      <c r="J337" s="5"/>
      <c r="K337" s="5"/>
    </row>
    <row r="338" spans="1:11" x14ac:dyDescent="0.25">
      <c r="A338" s="5" t="s">
        <v>1273</v>
      </c>
      <c r="B338" s="5"/>
      <c r="C338" s="5"/>
      <c r="D338" s="5"/>
      <c r="E338" s="5"/>
      <c r="F338" s="5"/>
      <c r="G338" s="5"/>
      <c r="H338" s="5"/>
      <c r="I338" s="5"/>
      <c r="J338" s="5"/>
      <c r="K338" s="5"/>
    </row>
    <row r="339" spans="1:11" x14ac:dyDescent="0.25">
      <c r="A339" s="18" t="s">
        <v>1275</v>
      </c>
    </row>
    <row r="340" spans="1:11" x14ac:dyDescent="0.25">
      <c r="A340" t="s">
        <v>1277</v>
      </c>
    </row>
    <row r="342" spans="1:11" x14ac:dyDescent="0.25">
      <c r="A342" s="15" t="s">
        <v>1212</v>
      </c>
    </row>
    <row r="344" spans="1:11" x14ac:dyDescent="0.25">
      <c r="B344" t="s">
        <v>821</v>
      </c>
    </row>
    <row r="345" spans="1:11" x14ac:dyDescent="0.25">
      <c r="A345" t="s">
        <v>352</v>
      </c>
      <c r="B345">
        <v>2000</v>
      </c>
    </row>
    <row r="346" spans="1:11" x14ac:dyDescent="0.25">
      <c r="A346" t="s">
        <v>1276</v>
      </c>
      <c r="B346">
        <v>420</v>
      </c>
    </row>
    <row r="355" spans="1:11" x14ac:dyDescent="0.25">
      <c r="A355" s="5" t="s">
        <v>1283</v>
      </c>
      <c r="B355" s="5"/>
      <c r="C355" s="5"/>
      <c r="D355" s="5"/>
      <c r="E355" s="5"/>
      <c r="F355" s="5"/>
      <c r="G355" s="5"/>
      <c r="H355" s="5"/>
      <c r="I355" s="5"/>
      <c r="J355" s="5"/>
      <c r="K355" s="5"/>
    </row>
    <row r="356" spans="1:11" x14ac:dyDescent="0.25">
      <c r="A356" s="5" t="s">
        <v>1282</v>
      </c>
      <c r="B356" s="5"/>
      <c r="C356" s="5"/>
      <c r="D356" s="5"/>
      <c r="E356" s="5"/>
      <c r="F356" s="5"/>
      <c r="G356" s="5"/>
      <c r="H356" s="5"/>
      <c r="I356" s="5"/>
      <c r="J356" s="5"/>
      <c r="K356" s="5"/>
    </row>
    <row r="357" spans="1:11" x14ac:dyDescent="0.25">
      <c r="A357" s="18" t="s">
        <v>1279</v>
      </c>
    </row>
    <row r="358" spans="1:11" x14ac:dyDescent="0.25">
      <c r="A358" t="s">
        <v>1281</v>
      </c>
    </row>
    <row r="360" spans="1:11" x14ac:dyDescent="0.25">
      <c r="A360" s="15" t="s">
        <v>1193</v>
      </c>
    </row>
    <row r="362" spans="1:11" x14ac:dyDescent="0.25">
      <c r="B362" t="s">
        <v>1122</v>
      </c>
      <c r="C362" t="s">
        <v>821</v>
      </c>
    </row>
    <row r="363" spans="1:11" x14ac:dyDescent="0.25">
      <c r="A363" t="s">
        <v>108</v>
      </c>
      <c r="B363">
        <v>0.5</v>
      </c>
      <c r="C363">
        <f>B363/1.68/2</f>
        <v>0.14880952380952381</v>
      </c>
    </row>
    <row r="364" spans="1:11" x14ac:dyDescent="0.25">
      <c r="A364" t="s">
        <v>1280</v>
      </c>
      <c r="B364">
        <v>1.5</v>
      </c>
    </row>
    <row r="365" spans="1:11" x14ac:dyDescent="0.25">
      <c r="A365" t="s">
        <v>1196</v>
      </c>
      <c r="B365">
        <f>B364*G379/(G379+2*G380)</f>
        <v>1.285933144526459</v>
      </c>
      <c r="C365">
        <f t="shared" ref="C365" si="4">B365/1.68/2</f>
        <v>0.38271819777573185</v>
      </c>
    </row>
    <row r="367" spans="1:11" x14ac:dyDescent="0.25">
      <c r="A367" s="5" t="s">
        <v>1278</v>
      </c>
      <c r="B367" s="5"/>
      <c r="C367" s="5"/>
      <c r="D367" s="5"/>
      <c r="E367" s="5"/>
      <c r="F367" s="5"/>
      <c r="G367" s="5"/>
      <c r="H367" s="5"/>
      <c r="I367" s="5"/>
      <c r="J367" s="5"/>
      <c r="K367" s="5"/>
    </row>
    <row r="368" spans="1:11" x14ac:dyDescent="0.25">
      <c r="A368" s="5" t="s">
        <v>1282</v>
      </c>
      <c r="B368" s="5"/>
      <c r="C368" s="5"/>
      <c r="D368" s="5"/>
      <c r="E368" s="5"/>
      <c r="F368" s="5"/>
      <c r="G368" s="5"/>
      <c r="H368" s="5"/>
      <c r="I368" s="5"/>
      <c r="J368" s="5"/>
      <c r="K368" s="5"/>
    </row>
    <row r="369" spans="1:11" x14ac:dyDescent="0.25">
      <c r="A369" s="18" t="s">
        <v>1279</v>
      </c>
    </row>
    <row r="370" spans="1:11" x14ac:dyDescent="0.25">
      <c r="A370" t="s">
        <v>1284</v>
      </c>
    </row>
    <row r="372" spans="1:11" x14ac:dyDescent="0.25">
      <c r="A372" s="15" t="s">
        <v>1193</v>
      </c>
      <c r="D372" t="s">
        <v>1285</v>
      </c>
      <c r="E372">
        <v>1</v>
      </c>
      <c r="F372" t="s">
        <v>1204</v>
      </c>
    </row>
    <row r="373" spans="1:11" x14ac:dyDescent="0.25">
      <c r="D373" t="s">
        <v>1205</v>
      </c>
      <c r="E373">
        <v>1.5860000000000001</v>
      </c>
      <c r="F373" t="s">
        <v>877</v>
      </c>
    </row>
    <row r="377" spans="1:11" x14ac:dyDescent="0.25">
      <c r="B377" t="s">
        <v>1286</v>
      </c>
      <c r="C377" t="s">
        <v>821</v>
      </c>
      <c r="G377" t="s">
        <v>1237</v>
      </c>
      <c r="H377" t="s">
        <v>111</v>
      </c>
      <c r="I377" t="s">
        <v>1196</v>
      </c>
      <c r="J377" t="s">
        <v>1236</v>
      </c>
    </row>
    <row r="378" spans="1:11" x14ac:dyDescent="0.25">
      <c r="A378" t="s">
        <v>111</v>
      </c>
      <c r="B378">
        <f>1.5*G378*H378/(G378*H378+G379*I379+G380*J380)</f>
        <v>0.66156792411545018</v>
      </c>
      <c r="C378" s="20">
        <f>B378/E$372/E$373</f>
        <v>0.41712983866043513</v>
      </c>
      <c r="F378" t="s">
        <v>111</v>
      </c>
      <c r="G378">
        <v>101.07</v>
      </c>
      <c r="H378">
        <v>0.7</v>
      </c>
    </row>
    <row r="379" spans="1:11" x14ac:dyDescent="0.25">
      <c r="A379" t="s">
        <v>1196</v>
      </c>
      <c r="B379">
        <f>1.5*G379*I379/(G378*H378+G379*I379+G380*J380)</f>
        <v>0.53922148017512406</v>
      </c>
      <c r="C379" s="20">
        <f t="shared" ref="C379:C381" si="5">B379/E$372/E$373</f>
        <v>0.33998832293513492</v>
      </c>
      <c r="F379" t="s">
        <v>1196</v>
      </c>
      <c r="G379">
        <v>192.21700000000001</v>
      </c>
      <c r="I379">
        <v>0.3</v>
      </c>
    </row>
    <row r="380" spans="1:11" x14ac:dyDescent="0.25">
      <c r="A380" t="s">
        <v>1236</v>
      </c>
      <c r="B380">
        <f>1.5*G380*J380/(G378*H378+G379*I379+G380*J380)</f>
        <v>0.29921059570942593</v>
      </c>
      <c r="C380" s="20">
        <f t="shared" si="5"/>
        <v>0.18865737434390031</v>
      </c>
      <c r="F380" t="s">
        <v>1236</v>
      </c>
      <c r="G380">
        <v>15.999000000000001</v>
      </c>
      <c r="J380">
        <v>2</v>
      </c>
    </row>
    <row r="381" spans="1:11" x14ac:dyDescent="0.25">
      <c r="A381" t="s">
        <v>108</v>
      </c>
      <c r="B381">
        <v>0.5</v>
      </c>
      <c r="C381" s="20">
        <f t="shared" si="5"/>
        <v>0.31525851197982346</v>
      </c>
    </row>
    <row r="383" spans="1:11" x14ac:dyDescent="0.25">
      <c r="E383" t="s">
        <v>766</v>
      </c>
    </row>
    <row r="384" spans="1:11" x14ac:dyDescent="0.25">
      <c r="A384" s="5" t="s">
        <v>1287</v>
      </c>
      <c r="B384" s="5"/>
      <c r="C384" s="5"/>
      <c r="D384" s="5"/>
      <c r="E384" s="5"/>
      <c r="F384" s="5"/>
      <c r="G384" s="5"/>
      <c r="H384" s="5"/>
      <c r="I384" s="5"/>
      <c r="J384" s="5"/>
      <c r="K384" s="5"/>
    </row>
    <row r="385" spans="1:11" x14ac:dyDescent="0.25">
      <c r="A385" s="5" t="s">
        <v>1288</v>
      </c>
      <c r="B385" s="5"/>
      <c r="C385" s="5"/>
      <c r="D385" s="5"/>
      <c r="E385" s="5"/>
      <c r="F385" s="5"/>
      <c r="G385" s="5"/>
      <c r="H385" s="5"/>
      <c r="I385" s="5"/>
      <c r="J385" s="5"/>
      <c r="K385" s="5"/>
    </row>
    <row r="386" spans="1:11" x14ac:dyDescent="0.25">
      <c r="A386" s="18" t="s">
        <v>1289</v>
      </c>
    </row>
    <row r="387" spans="1:11" x14ac:dyDescent="0.25">
      <c r="A387" t="s">
        <v>1290</v>
      </c>
    </row>
    <row r="390" spans="1:11" x14ac:dyDescent="0.25">
      <c r="B390" t="s">
        <v>1292</v>
      </c>
      <c r="C390" s="33" t="s">
        <v>821</v>
      </c>
    </row>
    <row r="391" spans="1:11" x14ac:dyDescent="0.25">
      <c r="A391" t="s">
        <v>265</v>
      </c>
      <c r="B391">
        <v>19000</v>
      </c>
      <c r="C391" s="33">
        <f>B391/6</f>
        <v>3166.6666666666665</v>
      </c>
    </row>
    <row r="392" spans="1:11" x14ac:dyDescent="0.25">
      <c r="A392" t="s">
        <v>236</v>
      </c>
      <c r="B392">
        <v>450</v>
      </c>
      <c r="C392" s="33">
        <f t="shared" ref="C392:C396" si="6">B392/6</f>
        <v>75</v>
      </c>
    </row>
    <row r="393" spans="1:11" x14ac:dyDescent="0.25">
      <c r="A393" t="s">
        <v>457</v>
      </c>
      <c r="B393">
        <v>430</v>
      </c>
      <c r="C393" s="33">
        <f t="shared" si="6"/>
        <v>71.666666666666671</v>
      </c>
    </row>
    <row r="394" spans="1:11" x14ac:dyDescent="0.25">
      <c r="A394" t="s">
        <v>1291</v>
      </c>
      <c r="B394">
        <v>1100</v>
      </c>
      <c r="C394" s="33">
        <f t="shared" si="6"/>
        <v>183.33333333333334</v>
      </c>
    </row>
    <row r="395" spans="1:11" x14ac:dyDescent="0.25">
      <c r="A395" t="s">
        <v>883</v>
      </c>
      <c r="B395">
        <f>B394*I133/(I133+2*I127)</f>
        <v>814.35457953936793</v>
      </c>
      <c r="C395" s="33">
        <f t="shared" si="6"/>
        <v>135.72576325656132</v>
      </c>
      <c r="D395">
        <f>C395+C394*91.224/(91.224+32)</f>
        <v>271.44932360194861</v>
      </c>
    </row>
    <row r="396" spans="1:11" x14ac:dyDescent="0.25">
      <c r="A396" t="s">
        <v>1236</v>
      </c>
      <c r="B396">
        <f>B394*2*I127/(I133+2*I127)</f>
        <v>285.64542046063201</v>
      </c>
      <c r="C396" s="33">
        <f t="shared" si="6"/>
        <v>47.607570076771999</v>
      </c>
    </row>
    <row r="409" spans="1:11" x14ac:dyDescent="0.25">
      <c r="A409" s="6" t="s">
        <v>1293</v>
      </c>
      <c r="B409" s="6"/>
      <c r="C409" s="6"/>
      <c r="D409" s="6"/>
      <c r="E409" s="6"/>
      <c r="F409" s="6"/>
      <c r="G409" s="6"/>
      <c r="H409" s="6"/>
      <c r="I409" s="6"/>
      <c r="J409" s="6"/>
      <c r="K409" s="6"/>
    </row>
    <row r="410" spans="1:11" x14ac:dyDescent="0.25">
      <c r="A410" s="6" t="s">
        <v>1294</v>
      </c>
      <c r="B410" s="6"/>
      <c r="C410" s="6"/>
      <c r="D410" s="6"/>
      <c r="E410" s="6"/>
      <c r="F410" s="6"/>
      <c r="G410" s="6"/>
      <c r="H410" s="6"/>
      <c r="I410" s="6"/>
      <c r="J410" s="6"/>
      <c r="K410" s="6"/>
    </row>
    <row r="411" spans="1:11" x14ac:dyDescent="0.25">
      <c r="A411" s="18" t="s">
        <v>1295</v>
      </c>
    </row>
    <row r="412" spans="1:11" x14ac:dyDescent="0.25">
      <c r="A412" t="s">
        <v>1297</v>
      </c>
    </row>
    <row r="414" spans="1:11" x14ac:dyDescent="0.25">
      <c r="A414" s="15" t="s">
        <v>1220</v>
      </c>
      <c r="E414" t="s">
        <v>1296</v>
      </c>
    </row>
    <row r="416" spans="1:11" x14ac:dyDescent="0.25">
      <c r="B416" t="s">
        <v>821</v>
      </c>
    </row>
    <row r="417" spans="1:23" x14ac:dyDescent="0.25">
      <c r="A417" t="s">
        <v>67</v>
      </c>
      <c r="B417">
        <v>23</v>
      </c>
      <c r="T417" s="13"/>
      <c r="U417" s="13"/>
      <c r="W417" s="20"/>
    </row>
    <row r="418" spans="1:23" x14ac:dyDescent="0.25">
      <c r="A418" t="s">
        <v>36</v>
      </c>
      <c r="B418">
        <v>14</v>
      </c>
      <c r="U418" s="13"/>
      <c r="W418" s="20"/>
    </row>
    <row r="419" spans="1:23" x14ac:dyDescent="0.25">
      <c r="U419" s="13"/>
      <c r="W419" s="20"/>
    </row>
    <row r="421" spans="1:23" x14ac:dyDescent="0.25">
      <c r="A421" s="5" t="s">
        <v>1298</v>
      </c>
      <c r="B421" s="5"/>
      <c r="C421" s="5"/>
      <c r="D421" s="5"/>
      <c r="E421" s="5"/>
      <c r="F421" s="5"/>
      <c r="G421" s="5"/>
      <c r="H421" s="5"/>
      <c r="I421" s="5"/>
      <c r="J421" s="5"/>
      <c r="K421" s="5"/>
    </row>
    <row r="422" spans="1:23" x14ac:dyDescent="0.25">
      <c r="A422" s="5" t="s">
        <v>1299</v>
      </c>
      <c r="B422" s="5"/>
      <c r="C422" s="5"/>
      <c r="D422" s="5"/>
      <c r="E422" s="5"/>
      <c r="F422" s="5"/>
      <c r="G422" s="5"/>
      <c r="H422" s="5"/>
      <c r="I422" s="5"/>
      <c r="J422" s="5"/>
      <c r="K422" s="5"/>
    </row>
    <row r="423" spans="1:23" x14ac:dyDescent="0.25">
      <c r="A423" s="18" t="s">
        <v>1300</v>
      </c>
    </row>
    <row r="424" spans="1:23" x14ac:dyDescent="0.25">
      <c r="A424" t="s">
        <v>1301</v>
      </c>
    </row>
    <row r="426" spans="1:23" x14ac:dyDescent="0.25">
      <c r="A426" s="15" t="s">
        <v>1220</v>
      </c>
    </row>
    <row r="429" spans="1:23" x14ac:dyDescent="0.25">
      <c r="B429" t="s">
        <v>1302</v>
      </c>
      <c r="C429" t="s">
        <v>1122</v>
      </c>
      <c r="D429" t="s">
        <v>821</v>
      </c>
      <c r="F429" t="s">
        <v>1311</v>
      </c>
    </row>
    <row r="430" spans="1:23" x14ac:dyDescent="0.25">
      <c r="A430" t="s">
        <v>1309</v>
      </c>
      <c r="B430" s="13">
        <v>3.8100000000000002E-2</v>
      </c>
      <c r="C430" s="20">
        <f>B430*100</f>
        <v>3.81</v>
      </c>
      <c r="D430" s="20">
        <f>C430/0.22/1.14</f>
        <v>15.191387559808613</v>
      </c>
      <c r="F430" s="20">
        <f>D430</f>
        <v>15.191387559808613</v>
      </c>
    </row>
    <row r="431" spans="1:23" x14ac:dyDescent="0.25">
      <c r="A431" t="s">
        <v>1310</v>
      </c>
      <c r="B431" s="13">
        <v>6.0099999999999997E-3</v>
      </c>
      <c r="C431" s="20">
        <f t="shared" ref="C431:C437" si="7">B431*100</f>
        <v>0.60099999999999998</v>
      </c>
      <c r="D431" s="20">
        <f t="shared" ref="D431:D437" si="8">C431/0.22/1.14</f>
        <v>2.3963317384370018</v>
      </c>
      <c r="F431" s="20">
        <f>D431</f>
        <v>2.3963317384370018</v>
      </c>
    </row>
    <row r="432" spans="1:23" x14ac:dyDescent="0.25">
      <c r="A432" t="s">
        <v>1303</v>
      </c>
      <c r="B432">
        <v>5.1799999999999999E-2</v>
      </c>
      <c r="C432" s="20">
        <f t="shared" si="7"/>
        <v>5.18</v>
      </c>
      <c r="D432" s="20">
        <f t="shared" si="8"/>
        <v>20.65390749601276</v>
      </c>
      <c r="F432">
        <f>D432*I125/(I125+3*I127)</f>
        <v>11.023313681081039</v>
      </c>
    </row>
    <row r="433" spans="1:6" x14ac:dyDescent="0.25">
      <c r="A433" t="s">
        <v>1304</v>
      </c>
      <c r="B433">
        <v>0.98499999999999999</v>
      </c>
      <c r="C433" s="20">
        <f t="shared" si="7"/>
        <v>98.5</v>
      </c>
      <c r="D433" s="20">
        <f t="shared" si="8"/>
        <v>392.74322169059019</v>
      </c>
      <c r="F433">
        <f>D433*I133/(I133+2*I127)</f>
        <v>290.75658287888848</v>
      </c>
    </row>
    <row r="434" spans="1:6" x14ac:dyDescent="0.25">
      <c r="A434" t="s">
        <v>1305</v>
      </c>
      <c r="B434">
        <v>0.157</v>
      </c>
      <c r="C434" s="20">
        <f t="shared" si="7"/>
        <v>15.7</v>
      </c>
      <c r="D434" s="20">
        <f t="shared" si="8"/>
        <v>62.599681020733655</v>
      </c>
      <c r="F434">
        <f>D434*2*I132/(2*I132+3*I127)</f>
        <v>49.293741568656955</v>
      </c>
    </row>
    <row r="435" spans="1:6" x14ac:dyDescent="0.25">
      <c r="A435" t="s">
        <v>1306</v>
      </c>
      <c r="B435">
        <v>1.48</v>
      </c>
      <c r="C435" s="20">
        <f t="shared" si="7"/>
        <v>148</v>
      </c>
      <c r="D435" s="20">
        <f t="shared" si="8"/>
        <v>590.11164274322175</v>
      </c>
      <c r="F435">
        <f>D435*I126/(I126+I127)</f>
        <v>463.71061436217093</v>
      </c>
    </row>
    <row r="436" spans="1:6" x14ac:dyDescent="0.25">
      <c r="A436" t="s">
        <v>1307</v>
      </c>
      <c r="B436">
        <v>0.33400000000000002</v>
      </c>
      <c r="C436" s="20">
        <f t="shared" si="7"/>
        <v>33.4</v>
      </c>
      <c r="D436" s="20">
        <f t="shared" si="8"/>
        <v>133.17384370015949</v>
      </c>
      <c r="F436">
        <f>D436*I133/(I133+2*I127)</f>
        <v>98.591572265531724</v>
      </c>
    </row>
    <row r="437" spans="1:6" x14ac:dyDescent="0.25">
      <c r="A437" t="s">
        <v>1308</v>
      </c>
      <c r="B437">
        <v>5.3199999999999997E-2</v>
      </c>
      <c r="C437" s="20">
        <f t="shared" si="7"/>
        <v>5.3199999999999994</v>
      </c>
      <c r="D437" s="20">
        <f t="shared" si="8"/>
        <v>21.212121212121211</v>
      </c>
      <c r="F437">
        <f>D437*2*I132/(2*I132+3*I127)</f>
        <v>16.703357015621336</v>
      </c>
    </row>
    <row r="439" spans="1:6" x14ac:dyDescent="0.25">
      <c r="A439" s="15"/>
      <c r="B439" s="15" t="s">
        <v>537</v>
      </c>
    </row>
    <row r="440" spans="1:6" x14ac:dyDescent="0.25">
      <c r="A440" s="15" t="s">
        <v>101</v>
      </c>
      <c r="B440" s="33">
        <f>F430</f>
        <v>15.191387559808613</v>
      </c>
    </row>
    <row r="441" spans="1:6" x14ac:dyDescent="0.25">
      <c r="A441" s="15" t="s">
        <v>115</v>
      </c>
      <c r="B441" s="16">
        <f>F431</f>
        <v>2.3963317384370018</v>
      </c>
      <c r="C441" s="13"/>
      <c r="D441" s="20"/>
    </row>
    <row r="442" spans="1:6" x14ac:dyDescent="0.25">
      <c r="A442" s="15" t="s">
        <v>350</v>
      </c>
      <c r="B442" s="16">
        <f>F432</f>
        <v>11.023313681081039</v>
      </c>
      <c r="C442" s="13"/>
      <c r="D442" s="20"/>
    </row>
    <row r="443" spans="1:6" x14ac:dyDescent="0.25">
      <c r="A443" s="15" t="s">
        <v>121</v>
      </c>
      <c r="B443" s="16">
        <f>F433+F436</f>
        <v>389.34815514442022</v>
      </c>
      <c r="C443" s="13"/>
      <c r="D443" s="20"/>
    </row>
    <row r="444" spans="1:6" x14ac:dyDescent="0.25">
      <c r="A444" s="15" t="s">
        <v>120</v>
      </c>
      <c r="B444" s="16">
        <f>F434+F437</f>
        <v>65.997098584278291</v>
      </c>
      <c r="C444" s="13"/>
      <c r="D444" s="20"/>
    </row>
    <row r="445" spans="1:6" x14ac:dyDescent="0.25">
      <c r="A445" s="15" t="s">
        <v>352</v>
      </c>
      <c r="B445" s="16">
        <f>F435</f>
        <v>463.71061436217093</v>
      </c>
      <c r="C445" s="13"/>
      <c r="D445" s="20"/>
    </row>
    <row r="446" spans="1:6" x14ac:dyDescent="0.25">
      <c r="B446" s="13"/>
      <c r="C446" s="13"/>
      <c r="D446" s="20"/>
    </row>
    <row r="447" spans="1:6" x14ac:dyDescent="0.25">
      <c r="B447" s="13"/>
      <c r="C447" s="13"/>
      <c r="D447" s="20"/>
    </row>
    <row r="448" spans="1:6" x14ac:dyDescent="0.25">
      <c r="B448" s="13"/>
      <c r="C448" s="13"/>
      <c r="D448" s="20"/>
    </row>
  </sheetData>
  <hyperlinks>
    <hyperlink ref="A7" r:id="rId1" xr:uid="{00000000-0004-0000-0700-000000000000}"/>
    <hyperlink ref="A28" r:id="rId2" xr:uid="{00000000-0004-0000-0700-000001000000}"/>
    <hyperlink ref="A67" r:id="rId3" xr:uid="{00000000-0004-0000-0700-000002000000}"/>
    <hyperlink ref="A88" r:id="rId4" xr:uid="{00000000-0004-0000-0700-000003000000}"/>
    <hyperlink ref="A103" r:id="rId5" xr:uid="{00000000-0004-0000-0700-000004000000}"/>
    <hyperlink ref="A167" r:id="rId6" xr:uid="{00000000-0004-0000-0700-000005000000}"/>
    <hyperlink ref="A197" r:id="rId7" xr:uid="{00000000-0004-0000-0700-000006000000}"/>
    <hyperlink ref="A218" r:id="rId8" xr:uid="{00000000-0004-0000-0700-000007000000}"/>
    <hyperlink ref="A245" r:id="rId9" xr:uid="{00000000-0004-0000-0700-000008000000}"/>
    <hyperlink ref="A268" r:id="rId10" xr:uid="{00000000-0004-0000-0700-000009000000}"/>
    <hyperlink ref="A303" r:id="rId11" xr:uid="{00000000-0004-0000-0700-00000A000000}"/>
    <hyperlink ref="A339" r:id="rId12" xr:uid="{00000000-0004-0000-0700-00000B000000}"/>
    <hyperlink ref="A357" r:id="rId13" xr:uid="{00000000-0004-0000-0700-00000C000000}"/>
    <hyperlink ref="A369" r:id="rId14" xr:uid="{00000000-0004-0000-0700-00000D000000}"/>
    <hyperlink ref="A386" r:id="rId15" xr:uid="{00000000-0004-0000-0700-00000E000000}"/>
    <hyperlink ref="A411" r:id="rId16" xr:uid="{00000000-0004-0000-0700-00000F000000}"/>
    <hyperlink ref="A423" r:id="rId17" xr:uid="{00000000-0004-0000-0700-000010000000}"/>
  </hyperlinks>
  <pageMargins left="0.7" right="0.7" top="0.75" bottom="0.75" header="0.3" footer="0.3"/>
  <pageSetup paperSize="9" orientation="portrait" r:id="rId18"/>
  <drawing r:id="rId19"/>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FFCCFF"/>
  </sheetPr>
  <dimension ref="A1:T84"/>
  <sheetViews>
    <sheetView topLeftCell="A106" workbookViewId="0">
      <selection activeCell="O92" sqref="O92"/>
    </sheetView>
  </sheetViews>
  <sheetFormatPr defaultRowHeight="15" x14ac:dyDescent="0.25"/>
  <cols>
    <col min="1" max="1" width="18.85546875" customWidth="1"/>
    <col min="2" max="2" width="20.28515625" customWidth="1"/>
    <col min="3" max="3" width="25.28515625" customWidth="1"/>
    <col min="4" max="4" width="23.7109375" customWidth="1"/>
  </cols>
  <sheetData>
    <row r="1" spans="1:20" x14ac:dyDescent="0.25">
      <c r="A1" s="5" t="s">
        <v>5</v>
      </c>
      <c r="B1" s="5"/>
      <c r="C1" s="5"/>
      <c r="D1" s="5"/>
      <c r="E1" s="5"/>
      <c r="F1" s="5"/>
      <c r="G1" s="5"/>
      <c r="H1" s="5"/>
      <c r="I1" s="5"/>
      <c r="J1" s="5"/>
      <c r="K1" s="5"/>
    </row>
    <row r="2" spans="1:20" x14ac:dyDescent="0.25">
      <c r="A2" s="4" t="s">
        <v>6</v>
      </c>
      <c r="B2" s="4"/>
      <c r="C2" s="4"/>
      <c r="D2" s="4"/>
      <c r="E2" s="4"/>
      <c r="F2" s="4"/>
      <c r="G2" s="4"/>
      <c r="H2" s="4"/>
      <c r="I2" s="4"/>
      <c r="J2" s="4"/>
      <c r="K2" s="4"/>
    </row>
    <row r="3" spans="1:20" x14ac:dyDescent="0.25">
      <c r="A3" s="7" t="s">
        <v>8</v>
      </c>
      <c r="B3" s="7"/>
      <c r="C3" s="7"/>
      <c r="D3" s="7"/>
      <c r="E3" s="7"/>
      <c r="F3" s="7"/>
      <c r="G3" s="7"/>
      <c r="H3" s="7"/>
      <c r="I3" s="7"/>
      <c r="J3" s="7"/>
      <c r="K3" s="7"/>
    </row>
    <row r="5" spans="1:20" x14ac:dyDescent="0.25">
      <c r="A5" s="5" t="s">
        <v>1313</v>
      </c>
      <c r="B5" s="5"/>
      <c r="C5" s="5"/>
      <c r="D5" s="5"/>
      <c r="E5" s="5"/>
      <c r="F5" s="5"/>
      <c r="G5" s="5"/>
      <c r="H5" s="5"/>
      <c r="I5" s="5"/>
      <c r="J5" s="5"/>
      <c r="K5" s="5"/>
      <c r="L5" s="5"/>
      <c r="M5" s="5"/>
      <c r="N5" s="5"/>
      <c r="O5" s="5"/>
      <c r="P5" s="5"/>
      <c r="Q5" s="5"/>
      <c r="R5" s="5"/>
      <c r="S5" s="123"/>
      <c r="T5" s="5"/>
    </row>
    <row r="6" spans="1:20" x14ac:dyDescent="0.25">
      <c r="A6" s="29" t="s">
        <v>1312</v>
      </c>
      <c r="B6" s="5"/>
      <c r="C6" s="5"/>
      <c r="D6" s="5"/>
      <c r="E6" s="5"/>
      <c r="F6" s="5"/>
      <c r="G6" s="5"/>
      <c r="H6" s="5"/>
      <c r="I6" s="5"/>
      <c r="J6" s="5"/>
      <c r="K6" s="5"/>
      <c r="L6" s="5"/>
      <c r="M6" s="5"/>
      <c r="N6" s="5"/>
      <c r="O6" s="5"/>
      <c r="P6" s="5"/>
      <c r="Q6" s="5"/>
      <c r="R6" s="5"/>
      <c r="S6" s="124"/>
      <c r="T6" s="5"/>
    </row>
    <row r="7" spans="1:20" x14ac:dyDescent="0.25">
      <c r="A7" s="18" t="s">
        <v>1318</v>
      </c>
      <c r="S7" s="121"/>
    </row>
    <row r="8" spans="1:20" x14ac:dyDescent="0.25">
      <c r="A8" t="s">
        <v>575</v>
      </c>
      <c r="S8" s="122"/>
    </row>
    <row r="9" spans="1:20" x14ac:dyDescent="0.25">
      <c r="S9" s="18"/>
    </row>
    <row r="10" spans="1:20" x14ac:dyDescent="0.25">
      <c r="A10" s="15" t="s">
        <v>1337</v>
      </c>
      <c r="S10" s="18"/>
    </row>
    <row r="11" spans="1:20" x14ac:dyDescent="0.25">
      <c r="S11" s="18"/>
    </row>
    <row r="12" spans="1:20" x14ac:dyDescent="0.25">
      <c r="A12" t="s">
        <v>1336</v>
      </c>
      <c r="G12" t="s">
        <v>427</v>
      </c>
    </row>
    <row r="13" spans="1:20" x14ac:dyDescent="0.25">
      <c r="B13" t="s">
        <v>1327</v>
      </c>
      <c r="C13" t="s">
        <v>1328</v>
      </c>
      <c r="D13" t="s">
        <v>1329</v>
      </c>
      <c r="H13" t="s">
        <v>1327</v>
      </c>
      <c r="I13" t="s">
        <v>1328</v>
      </c>
      <c r="J13" t="s">
        <v>1329</v>
      </c>
    </row>
    <row r="14" spans="1:20" x14ac:dyDescent="0.25">
      <c r="A14" t="s">
        <v>1321</v>
      </c>
      <c r="B14">
        <v>32</v>
      </c>
      <c r="C14">
        <v>20</v>
      </c>
      <c r="D14">
        <v>20</v>
      </c>
      <c r="G14" t="s">
        <v>1321</v>
      </c>
      <c r="H14">
        <f>B14/10</f>
        <v>3.2</v>
      </c>
      <c r="I14">
        <f t="shared" ref="I14:J14" si="0">C14/10</f>
        <v>2</v>
      </c>
      <c r="J14">
        <f t="shared" si="0"/>
        <v>2</v>
      </c>
    </row>
    <row r="15" spans="1:20" x14ac:dyDescent="0.25">
      <c r="A15" t="s">
        <v>1322</v>
      </c>
      <c r="B15">
        <v>120</v>
      </c>
      <c r="C15">
        <f>75+19.1</f>
        <v>94.1</v>
      </c>
      <c r="D15">
        <f>75+33</f>
        <v>108</v>
      </c>
      <c r="G15" t="s">
        <v>1322</v>
      </c>
      <c r="H15">
        <f t="shared" ref="H15:H32" si="1">B15/10</f>
        <v>12</v>
      </c>
      <c r="I15">
        <f t="shared" ref="I15:I32" si="2">C15/10</f>
        <v>9.41</v>
      </c>
      <c r="J15">
        <f t="shared" ref="J15:J32" si="3">D15/10</f>
        <v>10.8</v>
      </c>
    </row>
    <row r="16" spans="1:20" x14ac:dyDescent="0.25">
      <c r="A16" t="s">
        <v>0</v>
      </c>
      <c r="B16">
        <v>35.200000000000003</v>
      </c>
      <c r="C16">
        <v>22</v>
      </c>
      <c r="D16">
        <v>22</v>
      </c>
      <c r="G16" t="s">
        <v>0</v>
      </c>
      <c r="H16">
        <f t="shared" si="1"/>
        <v>3.5200000000000005</v>
      </c>
      <c r="I16">
        <f t="shared" si="2"/>
        <v>2.2000000000000002</v>
      </c>
      <c r="J16">
        <f t="shared" si="3"/>
        <v>2.2000000000000002</v>
      </c>
    </row>
    <row r="17" spans="1:10" x14ac:dyDescent="0.25">
      <c r="A17" t="s">
        <v>1323</v>
      </c>
      <c r="B17">
        <v>16</v>
      </c>
      <c r="C17">
        <v>10</v>
      </c>
      <c r="D17">
        <v>10</v>
      </c>
      <c r="G17" t="s">
        <v>1323</v>
      </c>
      <c r="H17">
        <f t="shared" si="1"/>
        <v>1.6</v>
      </c>
      <c r="I17">
        <f t="shared" si="2"/>
        <v>1</v>
      </c>
      <c r="J17">
        <f t="shared" si="3"/>
        <v>1</v>
      </c>
    </row>
    <row r="18" spans="1:10" x14ac:dyDescent="0.25">
      <c r="A18" t="s">
        <v>1107</v>
      </c>
      <c r="B18">
        <v>1.6</v>
      </c>
      <c r="C18">
        <v>1</v>
      </c>
      <c r="D18">
        <v>1</v>
      </c>
      <c r="G18" t="s">
        <v>1107</v>
      </c>
      <c r="H18">
        <f t="shared" si="1"/>
        <v>0.16</v>
      </c>
      <c r="I18">
        <f t="shared" si="2"/>
        <v>0.1</v>
      </c>
      <c r="J18">
        <f t="shared" si="3"/>
        <v>0.1</v>
      </c>
    </row>
    <row r="19" spans="1:10" x14ac:dyDescent="0.25">
      <c r="A19" t="s">
        <v>1324</v>
      </c>
      <c r="B19">
        <v>2.7</v>
      </c>
      <c r="C19">
        <v>1.7</v>
      </c>
      <c r="D19">
        <v>1.7</v>
      </c>
      <c r="G19" t="s">
        <v>1324</v>
      </c>
      <c r="H19">
        <f t="shared" si="1"/>
        <v>0.27</v>
      </c>
      <c r="I19">
        <f t="shared" si="2"/>
        <v>0.16999999999999998</v>
      </c>
      <c r="J19">
        <f t="shared" si="3"/>
        <v>0.16999999999999998</v>
      </c>
    </row>
    <row r="20" spans="1:10" x14ac:dyDescent="0.25">
      <c r="A20" t="s">
        <v>0</v>
      </c>
      <c r="B20">
        <v>1.4</v>
      </c>
      <c r="D20">
        <v>0</v>
      </c>
      <c r="G20" t="s">
        <v>0</v>
      </c>
      <c r="H20">
        <f t="shared" si="1"/>
        <v>0.13999999999999999</v>
      </c>
      <c r="I20">
        <f t="shared" si="2"/>
        <v>0</v>
      </c>
      <c r="J20">
        <f t="shared" si="3"/>
        <v>0</v>
      </c>
    </row>
    <row r="21" spans="1:10" x14ac:dyDescent="0.25">
      <c r="A21" t="s">
        <v>1325</v>
      </c>
      <c r="B21">
        <v>0.5</v>
      </c>
      <c r="D21">
        <v>0</v>
      </c>
      <c r="G21" t="s">
        <v>1325</v>
      </c>
      <c r="H21">
        <f t="shared" si="1"/>
        <v>0.05</v>
      </c>
      <c r="I21">
        <f t="shared" si="2"/>
        <v>0</v>
      </c>
      <c r="J21">
        <f t="shared" si="3"/>
        <v>0</v>
      </c>
    </row>
    <row r="22" spans="1:10" x14ac:dyDescent="0.25">
      <c r="A22" t="s">
        <v>1326</v>
      </c>
      <c r="B22">
        <v>4.9000000000000004</v>
      </c>
      <c r="C22">
        <v>309</v>
      </c>
      <c r="D22">
        <v>3.09</v>
      </c>
      <c r="G22" t="s">
        <v>1326</v>
      </c>
      <c r="H22">
        <f t="shared" si="1"/>
        <v>0.49000000000000005</v>
      </c>
      <c r="I22">
        <f t="shared" si="2"/>
        <v>30.9</v>
      </c>
      <c r="J22">
        <f t="shared" si="3"/>
        <v>0.309</v>
      </c>
    </row>
    <row r="23" spans="1:10" x14ac:dyDescent="0.25">
      <c r="A23" t="s">
        <v>847</v>
      </c>
      <c r="B23">
        <v>4650</v>
      </c>
      <c r="C23">
        <v>4650</v>
      </c>
      <c r="D23">
        <v>4650</v>
      </c>
      <c r="G23" t="s">
        <v>847</v>
      </c>
      <c r="H23">
        <f t="shared" si="1"/>
        <v>465</v>
      </c>
      <c r="I23">
        <f t="shared" si="2"/>
        <v>465</v>
      </c>
      <c r="J23">
        <f t="shared" si="3"/>
        <v>465</v>
      </c>
    </row>
    <row r="24" spans="1:10" x14ac:dyDescent="0.25">
      <c r="A24" t="s">
        <v>833</v>
      </c>
      <c r="B24">
        <v>900</v>
      </c>
      <c r="C24">
        <f>900+19.1</f>
        <v>919.1</v>
      </c>
      <c r="D24">
        <f>900+1.3</f>
        <v>901.3</v>
      </c>
      <c r="G24" t="s">
        <v>833</v>
      </c>
      <c r="H24">
        <f t="shared" si="1"/>
        <v>90</v>
      </c>
      <c r="I24">
        <f t="shared" si="2"/>
        <v>91.91</v>
      </c>
      <c r="J24">
        <f t="shared" si="3"/>
        <v>90.13</v>
      </c>
    </row>
    <row r="25" spans="1:10" x14ac:dyDescent="0.25">
      <c r="A25" t="s">
        <v>236</v>
      </c>
      <c r="B25">
        <v>126</v>
      </c>
      <c r="C25">
        <v>126</v>
      </c>
      <c r="D25">
        <v>126</v>
      </c>
      <c r="G25" t="s">
        <v>236</v>
      </c>
      <c r="H25">
        <f t="shared" si="1"/>
        <v>12.6</v>
      </c>
      <c r="I25">
        <f t="shared" si="2"/>
        <v>12.6</v>
      </c>
      <c r="J25">
        <f t="shared" si="3"/>
        <v>12.6</v>
      </c>
    </row>
    <row r="26" spans="1:10" x14ac:dyDescent="0.25">
      <c r="A26" t="s">
        <v>1330</v>
      </c>
      <c r="B26">
        <v>101</v>
      </c>
      <c r="C26">
        <v>101</v>
      </c>
      <c r="D26">
        <v>101</v>
      </c>
      <c r="G26" t="s">
        <v>1330</v>
      </c>
      <c r="H26">
        <f t="shared" si="1"/>
        <v>10.1</v>
      </c>
      <c r="I26">
        <f t="shared" si="2"/>
        <v>10.1</v>
      </c>
      <c r="J26">
        <f t="shared" si="3"/>
        <v>10.1</v>
      </c>
    </row>
    <row r="27" spans="1:10" x14ac:dyDescent="0.25">
      <c r="A27" t="s">
        <v>1331</v>
      </c>
      <c r="B27">
        <v>66</v>
      </c>
      <c r="C27">
        <v>66</v>
      </c>
      <c r="D27">
        <v>66</v>
      </c>
      <c r="G27" t="s">
        <v>1331</v>
      </c>
      <c r="H27">
        <f t="shared" si="1"/>
        <v>6.6</v>
      </c>
      <c r="I27">
        <f t="shared" si="2"/>
        <v>6.6</v>
      </c>
      <c r="J27">
        <f t="shared" si="3"/>
        <v>6.6</v>
      </c>
    </row>
    <row r="28" spans="1:10" x14ac:dyDescent="0.25">
      <c r="A28" t="s">
        <v>1325</v>
      </c>
      <c r="B28">
        <v>0</v>
      </c>
      <c r="C28">
        <f>183.1+301.2</f>
        <v>484.29999999999995</v>
      </c>
      <c r="D28">
        <f>301.2+194.9</f>
        <v>496.1</v>
      </c>
      <c r="G28" t="s">
        <v>1325</v>
      </c>
      <c r="H28">
        <f t="shared" si="1"/>
        <v>0</v>
      </c>
      <c r="I28">
        <f t="shared" si="2"/>
        <v>48.429999999999993</v>
      </c>
      <c r="J28">
        <f t="shared" si="3"/>
        <v>49.61</v>
      </c>
    </row>
    <row r="29" spans="1:10" x14ac:dyDescent="0.25">
      <c r="A29" t="s">
        <v>1332</v>
      </c>
      <c r="B29">
        <v>0</v>
      </c>
      <c r="C29">
        <f>167+100.2</f>
        <v>267.2</v>
      </c>
      <c r="D29">
        <f>167+106.9</f>
        <v>273.89999999999998</v>
      </c>
      <c r="G29" t="s">
        <v>1332</v>
      </c>
      <c r="H29">
        <f t="shared" si="1"/>
        <v>0</v>
      </c>
      <c r="I29">
        <f t="shared" si="2"/>
        <v>26.72</v>
      </c>
      <c r="J29">
        <f t="shared" si="3"/>
        <v>27.389999999999997</v>
      </c>
    </row>
    <row r="30" spans="1:10" x14ac:dyDescent="0.25">
      <c r="A30" t="s">
        <v>1333</v>
      </c>
      <c r="B30">
        <v>0</v>
      </c>
      <c r="C30">
        <v>6.6</v>
      </c>
      <c r="D30">
        <v>6.6</v>
      </c>
      <c r="G30" t="s">
        <v>1333</v>
      </c>
      <c r="H30">
        <f t="shared" si="1"/>
        <v>0</v>
      </c>
      <c r="I30">
        <f t="shared" si="2"/>
        <v>0.65999999999999992</v>
      </c>
      <c r="J30">
        <f t="shared" si="3"/>
        <v>0.65999999999999992</v>
      </c>
    </row>
    <row r="31" spans="1:10" x14ac:dyDescent="0.25">
      <c r="A31" t="s">
        <v>1334</v>
      </c>
      <c r="B31">
        <v>0</v>
      </c>
      <c r="C31">
        <v>3.8</v>
      </c>
      <c r="D31">
        <v>0.3</v>
      </c>
      <c r="G31" t="s">
        <v>1334</v>
      </c>
      <c r="H31">
        <f t="shared" si="1"/>
        <v>0</v>
      </c>
      <c r="I31">
        <f t="shared" si="2"/>
        <v>0.38</v>
      </c>
      <c r="J31">
        <f t="shared" si="3"/>
        <v>0.03</v>
      </c>
    </row>
    <row r="32" spans="1:10" x14ac:dyDescent="0.25">
      <c r="A32" t="s">
        <v>1335</v>
      </c>
      <c r="B32">
        <v>0</v>
      </c>
      <c r="C32">
        <v>0</v>
      </c>
      <c r="D32">
        <f>34+8.5</f>
        <v>42.5</v>
      </c>
      <c r="G32" t="s">
        <v>1335</v>
      </c>
      <c r="H32">
        <f t="shared" si="1"/>
        <v>0</v>
      </c>
      <c r="I32">
        <f t="shared" si="2"/>
        <v>0</v>
      </c>
      <c r="J32">
        <f t="shared" si="3"/>
        <v>4.25</v>
      </c>
    </row>
    <row r="40" spans="1:20" x14ac:dyDescent="0.25">
      <c r="A40" s="5" t="s">
        <v>1314</v>
      </c>
      <c r="B40" s="5"/>
      <c r="C40" s="5"/>
      <c r="D40" s="5"/>
      <c r="E40" s="5"/>
      <c r="F40" s="5"/>
      <c r="G40" s="5"/>
      <c r="H40" s="5"/>
      <c r="I40" s="5"/>
      <c r="J40" s="5"/>
      <c r="K40" s="5"/>
      <c r="L40" s="5"/>
      <c r="M40" s="5"/>
      <c r="N40" s="5"/>
      <c r="O40" s="5"/>
      <c r="P40" s="5"/>
      <c r="Q40" s="5"/>
      <c r="R40" s="5"/>
      <c r="S40" s="123"/>
      <c r="T40" s="5"/>
    </row>
    <row r="41" spans="1:20" x14ac:dyDescent="0.25">
      <c r="A41" s="29" t="s">
        <v>1316</v>
      </c>
      <c r="B41" s="5"/>
      <c r="C41" s="5"/>
      <c r="D41" s="5"/>
      <c r="E41" s="5"/>
      <c r="F41" s="5"/>
      <c r="G41" s="5"/>
      <c r="H41" s="5"/>
      <c r="I41" s="5"/>
      <c r="J41" s="5"/>
      <c r="K41" s="5"/>
      <c r="L41" s="5"/>
      <c r="M41" s="5"/>
      <c r="N41" s="5"/>
      <c r="O41" s="5"/>
      <c r="P41" s="5"/>
      <c r="Q41" s="5"/>
      <c r="R41" s="5"/>
      <c r="S41" s="124"/>
      <c r="T41" s="5"/>
    </row>
    <row r="42" spans="1:20" x14ac:dyDescent="0.25">
      <c r="A42" s="18" t="s">
        <v>1317</v>
      </c>
    </row>
    <row r="43" spans="1:20" x14ac:dyDescent="0.25">
      <c r="A43" t="s">
        <v>575</v>
      </c>
    </row>
    <row r="45" spans="1:20" x14ac:dyDescent="0.25">
      <c r="A45" s="15" t="s">
        <v>1337</v>
      </c>
    </row>
    <row r="80" spans="1:20" x14ac:dyDescent="0.25">
      <c r="A80" s="5" t="s">
        <v>1315</v>
      </c>
      <c r="B80" s="5"/>
      <c r="C80" s="5"/>
      <c r="D80" s="5"/>
      <c r="E80" s="5"/>
      <c r="F80" s="5"/>
      <c r="G80" s="5"/>
      <c r="H80" s="5"/>
      <c r="I80" s="5"/>
      <c r="J80" s="5"/>
      <c r="K80" s="5"/>
      <c r="L80" s="5"/>
      <c r="M80" s="5"/>
      <c r="N80" s="5"/>
      <c r="O80" s="5"/>
      <c r="P80" s="5"/>
      <c r="Q80" s="5"/>
      <c r="R80" s="5"/>
      <c r="S80" s="123"/>
      <c r="T80" s="5"/>
    </row>
    <row r="81" spans="1:20" x14ac:dyDescent="0.25">
      <c r="A81" s="29" t="s">
        <v>1319</v>
      </c>
      <c r="B81" s="5"/>
      <c r="C81" s="5"/>
      <c r="D81" s="5"/>
      <c r="E81" s="5"/>
      <c r="F81" s="5"/>
      <c r="G81" s="5"/>
      <c r="H81" s="5"/>
      <c r="I81" s="5"/>
      <c r="J81" s="5"/>
      <c r="K81" s="5"/>
      <c r="L81" s="5"/>
      <c r="M81" s="5"/>
      <c r="N81" s="5"/>
      <c r="O81" s="5"/>
      <c r="P81" s="5"/>
      <c r="Q81" s="5"/>
      <c r="R81" s="5"/>
      <c r="S81" s="124"/>
      <c r="T81" s="5"/>
    </row>
    <row r="82" spans="1:20" x14ac:dyDescent="0.25">
      <c r="A82" s="18" t="s">
        <v>1320</v>
      </c>
    </row>
    <row r="84" spans="1:20" x14ac:dyDescent="0.25">
      <c r="A84" s="15" t="s">
        <v>1337</v>
      </c>
    </row>
  </sheetData>
  <hyperlinks>
    <hyperlink ref="A42" r:id="rId1" xr:uid="{00000000-0004-0000-0800-000000000000}"/>
    <hyperlink ref="A7" r:id="rId2" xr:uid="{00000000-0004-0000-0800-000001000000}"/>
    <hyperlink ref="A82" r:id="rId3" xr:uid="{00000000-0004-0000-0800-000002000000}"/>
  </hyperlinks>
  <pageMargins left="0.7" right="0.7" top="0.75" bottom="0.75" header="0.3" footer="0.3"/>
  <pageSetup paperSize="9" orientation="portrait" r:id="rId4"/>
  <drawing r:id="rId5"/>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Transport</vt:lpstr>
      <vt:lpstr>Wind</vt:lpstr>
      <vt:lpstr>PV</vt:lpstr>
      <vt:lpstr>CSP</vt:lpstr>
      <vt:lpstr>Nuclear</vt:lpstr>
      <vt:lpstr>Batteries</vt:lpstr>
      <vt:lpstr>Fuel cells</vt:lpstr>
      <vt:lpstr>Electrolysers</vt:lpstr>
      <vt:lpstr>Heat pumps</vt:lpstr>
    </vt:vector>
  </TitlesOfParts>
  <Company>PSI - Paul Scherrer Institut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Hahn Menacho Alvaro Jose</dc:creator>
  <cp:lastModifiedBy>Hahn Menacho Alvaro Jose</cp:lastModifiedBy>
  <dcterms:created xsi:type="dcterms:W3CDTF">2023-02-27T13:37:51Z</dcterms:created>
  <dcterms:modified xsi:type="dcterms:W3CDTF">2024-02-26T15:45:11Z</dcterms:modified>
</cp:coreProperties>
</file>